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chelsilverman/Documents/"/>
    </mc:Choice>
  </mc:AlternateContent>
  <xr:revisionPtr revIDLastSave="0" documentId="13_ncr:1_{FCC116D5-0A4B-054F-B6FC-AE23C4D465B0}" xr6:coauthVersionLast="47" xr6:coauthVersionMax="47" xr10:uidLastSave="{00000000-0000-0000-0000-000000000000}"/>
  <bookViews>
    <workbookView xWindow="0" yWindow="500" windowWidth="28800" windowHeight="16540" activeTab="6" xr2:uid="{CDF141AB-7E68-4A18-BAC1-91512079BE22}"/>
  </bookViews>
  <sheets>
    <sheet name="Comparison" sheetId="9" r:id="rId1"/>
    <sheet name="Fair Share Calculation" sheetId="8" r:id="rId2"/>
    <sheet name="USA" sheetId="2" r:id="rId3"/>
    <sheet name="Japan" sheetId="3" r:id="rId4"/>
    <sheet name="Canada" sheetId="7" r:id="rId5"/>
    <sheet name="European Union" sheetId="6" r:id="rId6"/>
    <sheet name="United Kingdom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9" l="1"/>
  <c r="J21" i="9"/>
  <c r="I21" i="9"/>
  <c r="H21" i="9"/>
  <c r="I19" i="9"/>
  <c r="H19" i="9"/>
  <c r="I18" i="9"/>
  <c r="H18" i="9"/>
  <c r="H17" i="9"/>
  <c r="I17" i="9"/>
  <c r="I16" i="9"/>
  <c r="H16" i="9"/>
  <c r="H15" i="9"/>
  <c r="I15" i="9"/>
  <c r="G15" i="9"/>
  <c r="G18" i="9"/>
  <c r="G19" i="9"/>
  <c r="G17" i="9"/>
  <c r="G16" i="9"/>
  <c r="F19" i="9"/>
  <c r="F18" i="9"/>
  <c r="F21" i="9" s="1"/>
  <c r="F17" i="9"/>
  <c r="F16" i="9"/>
  <c r="F15" i="9"/>
  <c r="K19" i="9"/>
  <c r="J19" i="9"/>
  <c r="G7" i="9"/>
  <c r="G6" i="9"/>
  <c r="G5" i="9"/>
  <c r="G4" i="9"/>
  <c r="G3" i="9"/>
  <c r="F7" i="9"/>
  <c r="F6" i="9"/>
  <c r="F5" i="9"/>
  <c r="F4" i="9"/>
  <c r="F3" i="9"/>
  <c r="E7" i="9"/>
  <c r="E6" i="9"/>
  <c r="E5" i="9"/>
  <c r="E4" i="9"/>
  <c r="E3" i="9"/>
  <c r="D7" i="9"/>
  <c r="D6" i="9"/>
  <c r="D5" i="9"/>
  <c r="D9" i="9" s="1"/>
  <c r="D4" i="9"/>
  <c r="D3" i="9"/>
  <c r="E19" i="9"/>
  <c r="D19" i="9"/>
  <c r="C19" i="9"/>
  <c r="B50" i="5"/>
  <c r="C58" i="5"/>
  <c r="C50" i="5"/>
  <c r="B7" i="9"/>
  <c r="B6" i="9"/>
  <c r="B5" i="9"/>
  <c r="B4" i="9"/>
  <c r="B3" i="9"/>
  <c r="B9" i="9" s="1"/>
  <c r="E58" i="2"/>
  <c r="E57" i="2"/>
  <c r="E55" i="2"/>
  <c r="E39" i="2"/>
  <c r="E47" i="2"/>
  <c r="E42" i="2"/>
  <c r="E41" i="2"/>
  <c r="G47" i="5"/>
  <c r="B16" i="5"/>
  <c r="B18" i="5"/>
  <c r="U46" i="5" s="1"/>
  <c r="D69" i="5"/>
  <c r="C67" i="5"/>
  <c r="C65" i="5"/>
  <c r="D67" i="5"/>
  <c r="D66" i="5"/>
  <c r="D65" i="5"/>
  <c r="B56" i="5"/>
  <c r="D49" i="5"/>
  <c r="D48" i="5"/>
  <c r="D47" i="5"/>
  <c r="D46" i="5"/>
  <c r="D45" i="5"/>
  <c r="D44" i="5"/>
  <c r="B34" i="5"/>
  <c r="B8" i="5" s="1"/>
  <c r="T46" i="5"/>
  <c r="T47" i="5" s="1"/>
  <c r="T45" i="5"/>
  <c r="T44" i="5"/>
  <c r="T43" i="5"/>
  <c r="T42" i="5"/>
  <c r="T41" i="5"/>
  <c r="M41" i="5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T40" i="5"/>
  <c r="T39" i="5"/>
  <c r="T38" i="5"/>
  <c r="T37" i="5"/>
  <c r="B22" i="5"/>
  <c r="B17" i="5"/>
  <c r="B9" i="5"/>
  <c r="M7" i="5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B7" i="5"/>
  <c r="B6" i="6"/>
  <c r="B105" i="6"/>
  <c r="B57" i="6"/>
  <c r="B58" i="6" s="1"/>
  <c r="B16" i="6" s="1"/>
  <c r="H103" i="6"/>
  <c r="G103" i="6"/>
  <c r="C103" i="6"/>
  <c r="B103" i="6"/>
  <c r="B61" i="6" s="1"/>
  <c r="J121" i="6"/>
  <c r="D42" i="6"/>
  <c r="C39" i="6"/>
  <c r="C44" i="6" s="1"/>
  <c r="B39" i="6"/>
  <c r="B44" i="6" s="1"/>
  <c r="D37" i="6"/>
  <c r="D36" i="6"/>
  <c r="D35" i="6"/>
  <c r="D34" i="6"/>
  <c r="D33" i="6"/>
  <c r="D32" i="6"/>
  <c r="B50" i="6"/>
  <c r="B55" i="6" s="1"/>
  <c r="W46" i="6"/>
  <c r="W47" i="6" s="1"/>
  <c r="W48" i="6" s="1"/>
  <c r="W45" i="6"/>
  <c r="W44" i="6"/>
  <c r="W43" i="6"/>
  <c r="W42" i="6"/>
  <c r="W41" i="6"/>
  <c r="P41" i="6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W40" i="6"/>
  <c r="W39" i="6"/>
  <c r="W38" i="6"/>
  <c r="W37" i="6"/>
  <c r="B22" i="6"/>
  <c r="B18" i="6"/>
  <c r="B17" i="6"/>
  <c r="B9" i="6"/>
  <c r="P7" i="6"/>
  <c r="P8" i="6" s="1"/>
  <c r="P9" i="6" s="1"/>
  <c r="P10" i="6" s="1"/>
  <c r="P11" i="6" s="1"/>
  <c r="B7" i="6"/>
  <c r="B6" i="7"/>
  <c r="B55" i="7"/>
  <c r="B42" i="7"/>
  <c r="B19" i="7"/>
  <c r="C39" i="7"/>
  <c r="B39" i="7"/>
  <c r="I47" i="7"/>
  <c r="I41" i="3"/>
  <c r="I42" i="3"/>
  <c r="I39" i="3"/>
  <c r="I47" i="3"/>
  <c r="I63" i="3"/>
  <c r="V38" i="3"/>
  <c r="V39" i="3"/>
  <c r="V40" i="3"/>
  <c r="V41" i="3"/>
  <c r="V42" i="3"/>
  <c r="V43" i="3"/>
  <c r="V44" i="3"/>
  <c r="V45" i="3"/>
  <c r="V46" i="3"/>
  <c r="V37" i="3"/>
  <c r="R38" i="2"/>
  <c r="R39" i="2"/>
  <c r="R40" i="2"/>
  <c r="R41" i="2"/>
  <c r="R42" i="2"/>
  <c r="R43" i="2"/>
  <c r="R44" i="2"/>
  <c r="R45" i="2"/>
  <c r="R46" i="2"/>
  <c r="R37" i="2"/>
  <c r="I63" i="7"/>
  <c r="V46" i="7"/>
  <c r="V47" i="7" s="1"/>
  <c r="V48" i="7" s="1"/>
  <c r="V49" i="7" s="1"/>
  <c r="V50" i="7" s="1"/>
  <c r="V51" i="7" s="1"/>
  <c r="V52" i="7" s="1"/>
  <c r="V53" i="7" s="1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V64" i="7" s="1"/>
  <c r="V65" i="7" s="1"/>
  <c r="V66" i="7" s="1"/>
  <c r="V38" i="7"/>
  <c r="V39" i="7"/>
  <c r="V40" i="7"/>
  <c r="V41" i="7"/>
  <c r="V42" i="7"/>
  <c r="V43" i="7"/>
  <c r="V44" i="7"/>
  <c r="V45" i="7"/>
  <c r="V37" i="7"/>
  <c r="V47" i="3"/>
  <c r="V48" i="3" s="1"/>
  <c r="V49" i="3" s="1"/>
  <c r="V50" i="3" s="1"/>
  <c r="V51" i="3" s="1"/>
  <c r="V52" i="3" s="1"/>
  <c r="V53" i="3" s="1"/>
  <c r="V54" i="3" s="1"/>
  <c r="V55" i="3" s="1"/>
  <c r="V56" i="3" s="1"/>
  <c r="V57" i="3" s="1"/>
  <c r="V58" i="3" s="1"/>
  <c r="V59" i="3" s="1"/>
  <c r="V60" i="3" s="1"/>
  <c r="V61" i="3" s="1"/>
  <c r="V62" i="3" s="1"/>
  <c r="V63" i="3" s="1"/>
  <c r="V64" i="3" s="1"/>
  <c r="V65" i="3" s="1"/>
  <c r="V66" i="3" s="1"/>
  <c r="G21" i="9" l="1"/>
  <c r="U43" i="5"/>
  <c r="U37" i="5"/>
  <c r="U42" i="5"/>
  <c r="U38" i="5"/>
  <c r="U39" i="5"/>
  <c r="U45" i="5"/>
  <c r="U40" i="5"/>
  <c r="B23" i="5"/>
  <c r="U47" i="5"/>
  <c r="T48" i="5"/>
  <c r="U41" i="5"/>
  <c r="U44" i="5"/>
  <c r="X43" i="6"/>
  <c r="X48" i="6"/>
  <c r="X37" i="6"/>
  <c r="X38" i="6"/>
  <c r="X42" i="6"/>
  <c r="B23" i="6"/>
  <c r="M55" i="6" s="1"/>
  <c r="Q55" i="6" s="1"/>
  <c r="R55" i="6" s="1"/>
  <c r="S55" i="6" s="1"/>
  <c r="T55" i="6" s="1"/>
  <c r="X39" i="6"/>
  <c r="B66" i="6"/>
  <c r="B8" i="6" s="1"/>
  <c r="M10" i="6"/>
  <c r="Q10" i="6" s="1"/>
  <c r="M22" i="6"/>
  <c r="M11" i="6"/>
  <c r="Q11" i="6" s="1"/>
  <c r="M32" i="6"/>
  <c r="M17" i="6"/>
  <c r="M6" i="6"/>
  <c r="Q6" i="6" s="1"/>
  <c r="U6" i="6" s="1"/>
  <c r="V6" i="6" s="1"/>
  <c r="M27" i="6"/>
  <c r="M26" i="6"/>
  <c r="M16" i="6"/>
  <c r="M30" i="6"/>
  <c r="M8" i="6"/>
  <c r="Q8" i="6" s="1"/>
  <c r="M3" i="6"/>
  <c r="Q3" i="6" s="1"/>
  <c r="M20" i="6"/>
  <c r="X40" i="6"/>
  <c r="X44" i="6"/>
  <c r="X45" i="6"/>
  <c r="X41" i="6"/>
  <c r="X46" i="6"/>
  <c r="D39" i="6"/>
  <c r="D44" i="6" s="1"/>
  <c r="B19" i="6" s="1"/>
  <c r="P12" i="6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M58" i="6"/>
  <c r="Q58" i="6" s="1"/>
  <c r="R58" i="6" s="1"/>
  <c r="S58" i="6" s="1"/>
  <c r="T58" i="6" s="1"/>
  <c r="M65" i="6"/>
  <c r="Q65" i="6" s="1"/>
  <c r="R65" i="6" s="1"/>
  <c r="S65" i="6" s="1"/>
  <c r="T65" i="6" s="1"/>
  <c r="X47" i="6"/>
  <c r="M37" i="6"/>
  <c r="Q37" i="6" s="1"/>
  <c r="W49" i="6"/>
  <c r="M60" i="6"/>
  <c r="Q60" i="6" s="1"/>
  <c r="R60" i="6" s="1"/>
  <c r="S60" i="6" s="1"/>
  <c r="T60" i="6" s="1"/>
  <c r="M66" i="6"/>
  <c r="Q66" i="6" s="1"/>
  <c r="R66" i="6" s="1"/>
  <c r="S66" i="6" s="1"/>
  <c r="T66" i="6" s="1"/>
  <c r="M57" i="6"/>
  <c r="Q57" i="6" s="1"/>
  <c r="R57" i="6" s="1"/>
  <c r="S57" i="6" s="1"/>
  <c r="T57" i="6" s="1"/>
  <c r="M45" i="6"/>
  <c r="Q45" i="6" s="1"/>
  <c r="R45" i="6" s="1"/>
  <c r="S45" i="6" s="1"/>
  <c r="T45" i="6" s="1"/>
  <c r="M53" i="6"/>
  <c r="Q53" i="6" s="1"/>
  <c r="R53" i="6" s="1"/>
  <c r="S53" i="6" s="1"/>
  <c r="T53" i="6" s="1"/>
  <c r="M64" i="6"/>
  <c r="Q64" i="6" s="1"/>
  <c r="R64" i="6" s="1"/>
  <c r="S64" i="6" s="1"/>
  <c r="T64" i="6" s="1"/>
  <c r="M56" i="6"/>
  <c r="Q56" i="6" s="1"/>
  <c r="R56" i="6" s="1"/>
  <c r="S56" i="6" s="1"/>
  <c r="T56" i="6" s="1"/>
  <c r="M29" i="6"/>
  <c r="M13" i="6"/>
  <c r="M23" i="6"/>
  <c r="M21" i="6"/>
  <c r="M18" i="6"/>
  <c r="M9" i="6"/>
  <c r="Q9" i="6" s="1"/>
  <c r="M7" i="6"/>
  <c r="Q7" i="6" s="1"/>
  <c r="U7" i="6" s="1"/>
  <c r="V7" i="6" s="1"/>
  <c r="M4" i="6"/>
  <c r="Q4" i="6" s="1"/>
  <c r="U4" i="6" s="1"/>
  <c r="V4" i="6" s="1"/>
  <c r="M31" i="6"/>
  <c r="M25" i="6"/>
  <c r="M24" i="6"/>
  <c r="M19" i="6"/>
  <c r="M14" i="6"/>
  <c r="M44" i="6"/>
  <c r="Q44" i="6" s="1"/>
  <c r="R44" i="6" s="1"/>
  <c r="S44" i="6" s="1"/>
  <c r="T44" i="6" s="1"/>
  <c r="M5" i="6"/>
  <c r="Q5" i="6" s="1"/>
  <c r="U5" i="6" s="1"/>
  <c r="V5" i="6" s="1"/>
  <c r="M12" i="6"/>
  <c r="M15" i="6"/>
  <c r="M46" i="6"/>
  <c r="Q46" i="6" s="1"/>
  <c r="R46" i="6" s="1"/>
  <c r="S46" i="6" s="1"/>
  <c r="T46" i="6" s="1"/>
  <c r="M47" i="6"/>
  <c r="Q47" i="6" s="1"/>
  <c r="R47" i="6" s="1"/>
  <c r="S47" i="6" s="1"/>
  <c r="T47" i="6" s="1"/>
  <c r="M62" i="6"/>
  <c r="Q62" i="6" s="1"/>
  <c r="R62" i="6" s="1"/>
  <c r="S62" i="6" s="1"/>
  <c r="T62" i="6" s="1"/>
  <c r="M28" i="6"/>
  <c r="W47" i="3"/>
  <c r="W41" i="3"/>
  <c r="W45" i="3"/>
  <c r="W46" i="3"/>
  <c r="L46" i="3"/>
  <c r="W46" i="7"/>
  <c r="L46" i="7"/>
  <c r="L37" i="3"/>
  <c r="P37" i="3" s="1"/>
  <c r="W37" i="3"/>
  <c r="L38" i="3"/>
  <c r="P38" i="3"/>
  <c r="T38" i="3" s="1"/>
  <c r="U38" i="3" s="1"/>
  <c r="Q38" i="3"/>
  <c r="R38" i="3"/>
  <c r="S38" i="3"/>
  <c r="W38" i="3"/>
  <c r="L39" i="3"/>
  <c r="P39" i="3"/>
  <c r="T39" i="3" s="1"/>
  <c r="U39" i="3" s="1"/>
  <c r="Q39" i="3"/>
  <c r="R39" i="3" s="1"/>
  <c r="S39" i="3" s="1"/>
  <c r="W39" i="3"/>
  <c r="L40" i="3"/>
  <c r="P40" i="3" s="1"/>
  <c r="W40" i="3"/>
  <c r="L41" i="3"/>
  <c r="O41" i="3"/>
  <c r="P42" i="3" s="1"/>
  <c r="L42" i="3"/>
  <c r="O42" i="3"/>
  <c r="W42" i="3"/>
  <c r="L43" i="3"/>
  <c r="W43" i="3"/>
  <c r="L44" i="3"/>
  <c r="W44" i="3"/>
  <c r="L45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8" i="7"/>
  <c r="B30" i="7"/>
  <c r="B8" i="7" s="1"/>
  <c r="B25" i="7" s="1"/>
  <c r="W47" i="7"/>
  <c r="B57" i="7"/>
  <c r="B58" i="7" s="1"/>
  <c r="B16" i="7" s="1"/>
  <c r="O41" i="7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B22" i="7"/>
  <c r="B18" i="7"/>
  <c r="B17" i="7"/>
  <c r="B9" i="7"/>
  <c r="O7" i="7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B7" i="7"/>
  <c r="B8" i="8"/>
  <c r="C3" i="8" s="1"/>
  <c r="C39" i="3"/>
  <c r="B39" i="3"/>
  <c r="B9" i="3"/>
  <c r="C5" i="9" l="1"/>
  <c r="B4" i="3"/>
  <c r="D3" i="8"/>
  <c r="B17" i="9" s="1"/>
  <c r="C2" i="8"/>
  <c r="C5" i="8"/>
  <c r="C6" i="8"/>
  <c r="C4" i="8"/>
  <c r="J60" i="5"/>
  <c r="N60" i="5" s="1"/>
  <c r="J57" i="5"/>
  <c r="N57" i="5" s="1"/>
  <c r="J44" i="5"/>
  <c r="N44" i="5" s="1"/>
  <c r="J41" i="5"/>
  <c r="N41" i="5" s="1"/>
  <c r="J66" i="5"/>
  <c r="N66" i="5" s="1"/>
  <c r="J63" i="5"/>
  <c r="N63" i="5" s="1"/>
  <c r="J59" i="5"/>
  <c r="N59" i="5" s="1"/>
  <c r="J43" i="5"/>
  <c r="N43" i="5" s="1"/>
  <c r="J40" i="5"/>
  <c r="N40" i="5" s="1"/>
  <c r="J56" i="5"/>
  <c r="N56" i="5" s="1"/>
  <c r="J53" i="5"/>
  <c r="N53" i="5" s="1"/>
  <c r="J65" i="5"/>
  <c r="N65" i="5" s="1"/>
  <c r="J62" i="5"/>
  <c r="N62" i="5" s="1"/>
  <c r="J49" i="5"/>
  <c r="N49" i="5" s="1"/>
  <c r="J46" i="5"/>
  <c r="N46" i="5" s="1"/>
  <c r="J39" i="5"/>
  <c r="N39" i="5" s="1"/>
  <c r="J58" i="5"/>
  <c r="N58" i="5" s="1"/>
  <c r="J52" i="5"/>
  <c r="N52" i="5" s="1"/>
  <c r="J42" i="5"/>
  <c r="N42" i="5" s="1"/>
  <c r="J61" i="5"/>
  <c r="N61" i="5" s="1"/>
  <c r="J64" i="5"/>
  <c r="N64" i="5" s="1"/>
  <c r="J51" i="5"/>
  <c r="N51" i="5" s="1"/>
  <c r="J48" i="5"/>
  <c r="N48" i="5" s="1"/>
  <c r="J54" i="5"/>
  <c r="N54" i="5" s="1"/>
  <c r="J45" i="5"/>
  <c r="N45" i="5" s="1"/>
  <c r="J55" i="5"/>
  <c r="N55" i="5" s="1"/>
  <c r="J37" i="5"/>
  <c r="N37" i="5" s="1"/>
  <c r="J50" i="5"/>
  <c r="N50" i="5" s="1"/>
  <c r="J47" i="5"/>
  <c r="N47" i="5" s="1"/>
  <c r="J38" i="5"/>
  <c r="N38" i="5" s="1"/>
  <c r="T49" i="5"/>
  <c r="U48" i="5"/>
  <c r="M49" i="6"/>
  <c r="Q49" i="6" s="1"/>
  <c r="R49" i="6" s="1"/>
  <c r="S49" i="6" s="1"/>
  <c r="T49" i="6" s="1"/>
  <c r="M40" i="6"/>
  <c r="Q40" i="6" s="1"/>
  <c r="R40" i="6" s="1"/>
  <c r="S40" i="6" s="1"/>
  <c r="T40" i="6" s="1"/>
  <c r="M63" i="6"/>
  <c r="Q63" i="6" s="1"/>
  <c r="R63" i="6" s="1"/>
  <c r="S63" i="6" s="1"/>
  <c r="T63" i="6" s="1"/>
  <c r="M41" i="6"/>
  <c r="Q41" i="6" s="1"/>
  <c r="R41" i="6" s="1"/>
  <c r="S41" i="6" s="1"/>
  <c r="T41" i="6" s="1"/>
  <c r="M54" i="6"/>
  <c r="Q54" i="6" s="1"/>
  <c r="R54" i="6" s="1"/>
  <c r="S54" i="6" s="1"/>
  <c r="T54" i="6" s="1"/>
  <c r="R8" i="6"/>
  <c r="S8" i="6" s="1"/>
  <c r="T8" i="6" s="1"/>
  <c r="M61" i="6"/>
  <c r="Q61" i="6" s="1"/>
  <c r="R61" i="6" s="1"/>
  <c r="S61" i="6" s="1"/>
  <c r="T61" i="6" s="1"/>
  <c r="M39" i="6"/>
  <c r="Q39" i="6" s="1"/>
  <c r="R39" i="6" s="1"/>
  <c r="S39" i="6" s="1"/>
  <c r="T39" i="6" s="1"/>
  <c r="M38" i="6"/>
  <c r="Q38" i="6" s="1"/>
  <c r="R38" i="6" s="1"/>
  <c r="S38" i="6" s="1"/>
  <c r="T38" i="6" s="1"/>
  <c r="M48" i="6"/>
  <c r="Q48" i="6" s="1"/>
  <c r="R48" i="6" s="1"/>
  <c r="S48" i="6" s="1"/>
  <c r="T48" i="6" s="1"/>
  <c r="M42" i="6"/>
  <c r="Q42" i="6" s="1"/>
  <c r="R42" i="6" s="1"/>
  <c r="S42" i="6" s="1"/>
  <c r="T42" i="6" s="1"/>
  <c r="U53" i="6"/>
  <c r="V53" i="6" s="1"/>
  <c r="M50" i="6"/>
  <c r="Q50" i="6" s="1"/>
  <c r="R50" i="6" s="1"/>
  <c r="S50" i="6" s="1"/>
  <c r="T50" i="6" s="1"/>
  <c r="Q24" i="6"/>
  <c r="R24" i="6" s="1"/>
  <c r="S24" i="6" s="1"/>
  <c r="T24" i="6" s="1"/>
  <c r="Q29" i="6"/>
  <c r="R29" i="6" s="1"/>
  <c r="S29" i="6" s="1"/>
  <c r="T29" i="6" s="1"/>
  <c r="M51" i="6"/>
  <c r="Q51" i="6" s="1"/>
  <c r="R51" i="6" s="1"/>
  <c r="S51" i="6" s="1"/>
  <c r="T51" i="6" s="1"/>
  <c r="M52" i="6"/>
  <c r="Q52" i="6" s="1"/>
  <c r="R52" i="6" s="1"/>
  <c r="S52" i="6" s="1"/>
  <c r="T52" i="6" s="1"/>
  <c r="M43" i="6"/>
  <c r="Q43" i="6" s="1"/>
  <c r="R43" i="6" s="1"/>
  <c r="S43" i="6" s="1"/>
  <c r="T43" i="6" s="1"/>
  <c r="Q28" i="6"/>
  <c r="U28" i="6" s="1"/>
  <c r="V28" i="6" s="1"/>
  <c r="M59" i="6"/>
  <c r="Q59" i="6" s="1"/>
  <c r="R59" i="6" s="1"/>
  <c r="S59" i="6" s="1"/>
  <c r="T59" i="6" s="1"/>
  <c r="U10" i="6"/>
  <c r="V10" i="6" s="1"/>
  <c r="U58" i="6"/>
  <c r="V58" i="6" s="1"/>
  <c r="U3" i="6"/>
  <c r="V3" i="6" s="1"/>
  <c r="Q23" i="6"/>
  <c r="U23" i="6" s="1"/>
  <c r="V23" i="6" s="1"/>
  <c r="U8" i="6"/>
  <c r="V8" i="6" s="1"/>
  <c r="U9" i="6"/>
  <c r="V9" i="6" s="1"/>
  <c r="U38" i="6"/>
  <c r="V38" i="6" s="1"/>
  <c r="U60" i="6"/>
  <c r="V60" i="6" s="1"/>
  <c r="J47" i="6"/>
  <c r="Q30" i="6"/>
  <c r="U30" i="6" s="1"/>
  <c r="V30" i="6" s="1"/>
  <c r="Q15" i="6"/>
  <c r="U15" i="6" s="1"/>
  <c r="V15" i="6" s="1"/>
  <c r="Q25" i="6"/>
  <c r="R25" i="6" s="1"/>
  <c r="S25" i="6" s="1"/>
  <c r="T25" i="6" s="1"/>
  <c r="Q13" i="6"/>
  <c r="U13" i="6" s="1"/>
  <c r="V13" i="6" s="1"/>
  <c r="Q12" i="6"/>
  <c r="U12" i="6" s="1"/>
  <c r="V12" i="6" s="1"/>
  <c r="Q31" i="6"/>
  <c r="U31" i="6" s="1"/>
  <c r="V31" i="6" s="1"/>
  <c r="U64" i="6"/>
  <c r="V64" i="6" s="1"/>
  <c r="Q26" i="6"/>
  <c r="U26" i="6" s="1"/>
  <c r="V26" i="6" s="1"/>
  <c r="Q22" i="6"/>
  <c r="U22" i="6" s="1"/>
  <c r="V22" i="6" s="1"/>
  <c r="Q14" i="6"/>
  <c r="U14" i="6" s="1"/>
  <c r="V14" i="6" s="1"/>
  <c r="Q18" i="6"/>
  <c r="U18" i="6" s="1"/>
  <c r="V18" i="6" s="1"/>
  <c r="R3" i="6"/>
  <c r="S3" i="6" s="1"/>
  <c r="T3" i="6" s="1"/>
  <c r="R10" i="6"/>
  <c r="S10" i="6" s="1"/>
  <c r="T10" i="6" s="1"/>
  <c r="Q19" i="6"/>
  <c r="U19" i="6" s="1"/>
  <c r="V19" i="6" s="1"/>
  <c r="Q21" i="6"/>
  <c r="U21" i="6" s="1"/>
  <c r="V21" i="6" s="1"/>
  <c r="Q20" i="6"/>
  <c r="U20" i="6" s="1"/>
  <c r="V20" i="6" s="1"/>
  <c r="Q17" i="6"/>
  <c r="U17" i="6" s="1"/>
  <c r="V17" i="6" s="1"/>
  <c r="U45" i="6"/>
  <c r="V45" i="6" s="1"/>
  <c r="U55" i="6"/>
  <c r="V55" i="6" s="1"/>
  <c r="U66" i="6"/>
  <c r="V66" i="6" s="1"/>
  <c r="U11" i="6"/>
  <c r="V11" i="6" s="1"/>
  <c r="R6" i="6"/>
  <c r="S6" i="6" s="1"/>
  <c r="T6" i="6" s="1"/>
  <c r="B25" i="6"/>
  <c r="B26" i="6" s="1"/>
  <c r="R11" i="6"/>
  <c r="S11" i="6" s="1"/>
  <c r="T11" i="6" s="1"/>
  <c r="U52" i="6"/>
  <c r="V52" i="6" s="1"/>
  <c r="R5" i="6"/>
  <c r="S5" i="6" s="1"/>
  <c r="T5" i="6" s="1"/>
  <c r="R7" i="6"/>
  <c r="S7" i="6" s="1"/>
  <c r="T7" i="6" s="1"/>
  <c r="U65" i="6"/>
  <c r="V65" i="6" s="1"/>
  <c r="R37" i="6"/>
  <c r="S37" i="6" s="1"/>
  <c r="T37" i="6" s="1"/>
  <c r="U56" i="6"/>
  <c r="V56" i="6" s="1"/>
  <c r="U42" i="6"/>
  <c r="V42" i="6" s="1"/>
  <c r="U37" i="6"/>
  <c r="V37" i="6" s="1"/>
  <c r="U40" i="6"/>
  <c r="V40" i="6" s="1"/>
  <c r="Q27" i="6"/>
  <c r="Q16" i="6"/>
  <c r="U44" i="6"/>
  <c r="V44" i="6" s="1"/>
  <c r="U46" i="6"/>
  <c r="V46" i="6" s="1"/>
  <c r="Q32" i="6"/>
  <c r="R9" i="6"/>
  <c r="S9" i="6" s="1"/>
  <c r="T9" i="6" s="1"/>
  <c r="U47" i="6"/>
  <c r="V47" i="6" s="1"/>
  <c r="X49" i="6"/>
  <c r="W50" i="6"/>
  <c r="R4" i="6"/>
  <c r="S4" i="6" s="1"/>
  <c r="T4" i="6" s="1"/>
  <c r="U57" i="6"/>
  <c r="V57" i="6" s="1"/>
  <c r="U62" i="6"/>
  <c r="V62" i="6" s="1"/>
  <c r="U49" i="6"/>
  <c r="V49" i="6" s="1"/>
  <c r="L3" i="7"/>
  <c r="P3" i="7" s="1"/>
  <c r="T3" i="7" s="1"/>
  <c r="U3" i="7" s="1"/>
  <c r="T42" i="3"/>
  <c r="U42" i="3" s="1"/>
  <c r="Q42" i="3"/>
  <c r="R42" i="3" s="1"/>
  <c r="S42" i="3" s="1"/>
  <c r="P41" i="3"/>
  <c r="T41" i="3" s="1"/>
  <c r="U41" i="3" s="1"/>
  <c r="P46" i="7"/>
  <c r="W48" i="3"/>
  <c r="T40" i="3"/>
  <c r="U40" i="3" s="1"/>
  <c r="Q40" i="3"/>
  <c r="R40" i="3" s="1"/>
  <c r="S40" i="3" s="1"/>
  <c r="Q41" i="3"/>
  <c r="R41" i="3" s="1"/>
  <c r="S41" i="3" s="1"/>
  <c r="Q37" i="3"/>
  <c r="R37" i="3" s="1"/>
  <c r="S37" i="3" s="1"/>
  <c r="T37" i="3"/>
  <c r="U37" i="3" s="1"/>
  <c r="O43" i="3"/>
  <c r="L22" i="7"/>
  <c r="P22" i="7" s="1"/>
  <c r="T22" i="7" s="1"/>
  <c r="U22" i="7" s="1"/>
  <c r="O64" i="7"/>
  <c r="O65" i="7" s="1"/>
  <c r="O66" i="7" s="1"/>
  <c r="B23" i="7"/>
  <c r="L64" i="7" s="1"/>
  <c r="P8" i="7"/>
  <c r="Q8" i="7" s="1"/>
  <c r="R8" i="7" s="1"/>
  <c r="S8" i="7" s="1"/>
  <c r="W43" i="7"/>
  <c r="W37" i="7"/>
  <c r="W45" i="7"/>
  <c r="W39" i="7"/>
  <c r="W38" i="7"/>
  <c r="W41" i="7"/>
  <c r="W44" i="7"/>
  <c r="W40" i="7"/>
  <c r="W42" i="7"/>
  <c r="L4" i="7"/>
  <c r="P4" i="7" s="1"/>
  <c r="T4" i="7" s="1"/>
  <c r="U4" i="7" s="1"/>
  <c r="L10" i="7"/>
  <c r="P10" i="7" s="1"/>
  <c r="T10" i="7" s="1"/>
  <c r="U10" i="7" s="1"/>
  <c r="L19" i="7"/>
  <c r="P19" i="7" s="1"/>
  <c r="T19" i="7" s="1"/>
  <c r="U19" i="7" s="1"/>
  <c r="L21" i="7"/>
  <c r="P21" i="7" s="1"/>
  <c r="T21" i="7" s="1"/>
  <c r="U21" i="7" s="1"/>
  <c r="L28" i="7"/>
  <c r="P28" i="7" s="1"/>
  <c r="T28" i="7" s="1"/>
  <c r="U28" i="7" s="1"/>
  <c r="L15" i="7"/>
  <c r="P15" i="7" s="1"/>
  <c r="T15" i="7" s="1"/>
  <c r="U15" i="7" s="1"/>
  <c r="L12" i="7"/>
  <c r="P12" i="7" s="1"/>
  <c r="T12" i="7" s="1"/>
  <c r="U12" i="7" s="1"/>
  <c r="L29" i="7"/>
  <c r="P29" i="7" s="1"/>
  <c r="T29" i="7" s="1"/>
  <c r="U29" i="7" s="1"/>
  <c r="L13" i="7"/>
  <c r="P13" i="7" s="1"/>
  <c r="T13" i="7" s="1"/>
  <c r="U13" i="7" s="1"/>
  <c r="L31" i="7"/>
  <c r="P31" i="7" s="1"/>
  <c r="T31" i="7" s="1"/>
  <c r="U31" i="7" s="1"/>
  <c r="L25" i="7"/>
  <c r="P25" i="7" s="1"/>
  <c r="T25" i="7" s="1"/>
  <c r="U25" i="7" s="1"/>
  <c r="L14" i="7"/>
  <c r="P14" i="7" s="1"/>
  <c r="T14" i="7" s="1"/>
  <c r="U14" i="7" s="1"/>
  <c r="L32" i="7"/>
  <c r="P32" i="7" s="1"/>
  <c r="T32" i="7" s="1"/>
  <c r="U32" i="7" s="1"/>
  <c r="L60" i="7"/>
  <c r="P60" i="7" s="1"/>
  <c r="Q60" i="7" s="1"/>
  <c r="R60" i="7" s="1"/>
  <c r="S60" i="7" s="1"/>
  <c r="L57" i="7"/>
  <c r="P57" i="7" s="1"/>
  <c r="Q57" i="7" s="1"/>
  <c r="R57" i="7" s="1"/>
  <c r="S57" i="7" s="1"/>
  <c r="L66" i="7"/>
  <c r="L63" i="7"/>
  <c r="P63" i="7" s="1"/>
  <c r="Q63" i="7" s="1"/>
  <c r="R63" i="7" s="1"/>
  <c r="S63" i="7" s="1"/>
  <c r="L54" i="7"/>
  <c r="P54" i="7" s="1"/>
  <c r="L50" i="7"/>
  <c r="P50" i="7" s="1"/>
  <c r="Q50" i="7" s="1"/>
  <c r="R50" i="7" s="1"/>
  <c r="S50" i="7" s="1"/>
  <c r="L59" i="7"/>
  <c r="P59" i="7" s="1"/>
  <c r="Q59" i="7" s="1"/>
  <c r="R59" i="7" s="1"/>
  <c r="S59" i="7" s="1"/>
  <c r="L56" i="7"/>
  <c r="P56" i="7" s="1"/>
  <c r="Q56" i="7" s="1"/>
  <c r="R56" i="7" s="1"/>
  <c r="S56" i="7" s="1"/>
  <c r="L53" i="7"/>
  <c r="P53" i="7" s="1"/>
  <c r="Q53" i="7" s="1"/>
  <c r="R53" i="7" s="1"/>
  <c r="S53" i="7" s="1"/>
  <c r="L43" i="7"/>
  <c r="P43" i="7" s="1"/>
  <c r="Q43" i="7" s="1"/>
  <c r="R43" i="7" s="1"/>
  <c r="S43" i="7" s="1"/>
  <c r="L40" i="7"/>
  <c r="P40" i="7" s="1"/>
  <c r="Q40" i="7" s="1"/>
  <c r="R40" i="7" s="1"/>
  <c r="S40" i="7" s="1"/>
  <c r="L65" i="7"/>
  <c r="P65" i="7" s="1"/>
  <c r="Q65" i="7" s="1"/>
  <c r="R65" i="7" s="1"/>
  <c r="S65" i="7" s="1"/>
  <c r="L62" i="7"/>
  <c r="P62" i="7" s="1"/>
  <c r="Q62" i="7" s="1"/>
  <c r="R62" i="7" s="1"/>
  <c r="S62" i="7" s="1"/>
  <c r="L49" i="7"/>
  <c r="P49" i="7" s="1"/>
  <c r="Q49" i="7" s="1"/>
  <c r="R49" i="7" s="1"/>
  <c r="S49" i="7" s="1"/>
  <c r="L58" i="7"/>
  <c r="P58" i="7" s="1"/>
  <c r="Q58" i="7" s="1"/>
  <c r="R58" i="7" s="1"/>
  <c r="S58" i="7" s="1"/>
  <c r="L52" i="7"/>
  <c r="P52" i="7" s="1"/>
  <c r="Q52" i="7" s="1"/>
  <c r="R52" i="7" s="1"/>
  <c r="S52" i="7" s="1"/>
  <c r="L39" i="7"/>
  <c r="P39" i="7" s="1"/>
  <c r="Q39" i="7" s="1"/>
  <c r="R39" i="7" s="1"/>
  <c r="S39" i="7" s="1"/>
  <c r="L61" i="7"/>
  <c r="P61" i="7" s="1"/>
  <c r="T61" i="7" s="1"/>
  <c r="U61" i="7" s="1"/>
  <c r="L51" i="7"/>
  <c r="P51" i="7" s="1"/>
  <c r="T51" i="7" s="1"/>
  <c r="U51" i="7" s="1"/>
  <c r="L48" i="7"/>
  <c r="P48" i="7" s="1"/>
  <c r="Q48" i="7" s="1"/>
  <c r="R48" i="7" s="1"/>
  <c r="S48" i="7" s="1"/>
  <c r="L45" i="7"/>
  <c r="P45" i="7" s="1"/>
  <c r="Q45" i="7" s="1"/>
  <c r="R45" i="7" s="1"/>
  <c r="S45" i="7" s="1"/>
  <c r="L9" i="7"/>
  <c r="P9" i="7" s="1"/>
  <c r="T9" i="7" s="1"/>
  <c r="U9" i="7" s="1"/>
  <c r="L17" i="7"/>
  <c r="P17" i="7" s="1"/>
  <c r="T17" i="7" s="1"/>
  <c r="U17" i="7" s="1"/>
  <c r="L18" i="7"/>
  <c r="P18" i="7" s="1"/>
  <c r="T18" i="7" s="1"/>
  <c r="U18" i="7" s="1"/>
  <c r="L26" i="7"/>
  <c r="P26" i="7" s="1"/>
  <c r="T26" i="7" s="1"/>
  <c r="U26" i="7" s="1"/>
  <c r="L38" i="7"/>
  <c r="P38" i="7" s="1"/>
  <c r="Q38" i="7" s="1"/>
  <c r="R38" i="7" s="1"/>
  <c r="S38" i="7" s="1"/>
  <c r="L42" i="7"/>
  <c r="P42" i="7" s="1"/>
  <c r="L47" i="7"/>
  <c r="P47" i="7" s="1"/>
  <c r="B26" i="7"/>
  <c r="L20" i="7"/>
  <c r="P20" i="7" s="1"/>
  <c r="T20" i="7" s="1"/>
  <c r="U20" i="7" s="1"/>
  <c r="L11" i="7"/>
  <c r="P11" i="7" s="1"/>
  <c r="T11" i="7" s="1"/>
  <c r="U11" i="7" s="1"/>
  <c r="L24" i="7"/>
  <c r="P24" i="7" s="1"/>
  <c r="T24" i="7" s="1"/>
  <c r="U24" i="7" s="1"/>
  <c r="L41" i="7"/>
  <c r="L5" i="7"/>
  <c r="P5" i="7" s="1"/>
  <c r="T5" i="7" s="1"/>
  <c r="U5" i="7" s="1"/>
  <c r="L16" i="7"/>
  <c r="P16" i="7" s="1"/>
  <c r="T16" i="7" s="1"/>
  <c r="U16" i="7" s="1"/>
  <c r="L27" i="7"/>
  <c r="P27" i="7" s="1"/>
  <c r="T27" i="7" s="1"/>
  <c r="U27" i="7" s="1"/>
  <c r="L6" i="7"/>
  <c r="P6" i="7" s="1"/>
  <c r="T6" i="7" s="1"/>
  <c r="U6" i="7" s="1"/>
  <c r="L7" i="7"/>
  <c r="P7" i="7" s="1"/>
  <c r="L23" i="7"/>
  <c r="P23" i="7" s="1"/>
  <c r="L30" i="7"/>
  <c r="P30" i="7" s="1"/>
  <c r="T30" i="7" s="1"/>
  <c r="U30" i="7" s="1"/>
  <c r="L37" i="7"/>
  <c r="P37" i="7" s="1"/>
  <c r="B19" i="3"/>
  <c r="B46" i="3"/>
  <c r="B47" i="3" s="1"/>
  <c r="B48" i="3" s="1"/>
  <c r="B16" i="3" s="1"/>
  <c r="B30" i="3"/>
  <c r="B8" i="3" s="1"/>
  <c r="G39" i="5"/>
  <c r="C3" i="9" l="1"/>
  <c r="B4" i="7"/>
  <c r="D5" i="8"/>
  <c r="B15" i="9" s="1"/>
  <c r="B4" i="5"/>
  <c r="C6" i="9"/>
  <c r="D4" i="8"/>
  <c r="B18" i="9" s="1"/>
  <c r="D6" i="8"/>
  <c r="B16" i="9" s="1"/>
  <c r="C4" i="9"/>
  <c r="B4" i="6"/>
  <c r="C7" i="9"/>
  <c r="D2" i="8"/>
  <c r="C8" i="8"/>
  <c r="G55" i="5"/>
  <c r="G40" i="5"/>
  <c r="G56" i="5"/>
  <c r="R64" i="5"/>
  <c r="S64" i="5" s="1"/>
  <c r="O64" i="5"/>
  <c r="P64" i="5" s="1"/>
  <c r="Q64" i="5" s="1"/>
  <c r="R61" i="5"/>
  <c r="S61" i="5" s="1"/>
  <c r="O61" i="5"/>
  <c r="P61" i="5" s="1"/>
  <c r="Q61" i="5" s="1"/>
  <c r="O38" i="5"/>
  <c r="P38" i="5" s="1"/>
  <c r="Q38" i="5" s="1"/>
  <c r="R38" i="5"/>
  <c r="S38" i="5" s="1"/>
  <c r="O51" i="5"/>
  <c r="P51" i="5" s="1"/>
  <c r="Q51" i="5" s="1"/>
  <c r="R51" i="5"/>
  <c r="S51" i="5" s="1"/>
  <c r="O49" i="5"/>
  <c r="P49" i="5" s="1"/>
  <c r="Q49" i="5" s="1"/>
  <c r="R49" i="5"/>
  <c r="S49" i="5" s="1"/>
  <c r="R63" i="5"/>
  <c r="S63" i="5" s="1"/>
  <c r="O63" i="5"/>
  <c r="P63" i="5" s="1"/>
  <c r="Q63" i="5" s="1"/>
  <c r="O62" i="5"/>
  <c r="P62" i="5" s="1"/>
  <c r="Q62" i="5" s="1"/>
  <c r="R62" i="5"/>
  <c r="S62" i="5" s="1"/>
  <c r="O65" i="5"/>
  <c r="P65" i="5" s="1"/>
  <c r="Q65" i="5" s="1"/>
  <c r="R65" i="5"/>
  <c r="S65" i="5" s="1"/>
  <c r="O53" i="5"/>
  <c r="P53" i="5" s="1"/>
  <c r="Q53" i="5" s="1"/>
  <c r="R53" i="5"/>
  <c r="S53" i="5" s="1"/>
  <c r="O52" i="5"/>
  <c r="P52" i="5" s="1"/>
  <c r="Q52" i="5" s="1"/>
  <c r="R52" i="5"/>
  <c r="S52" i="5" s="1"/>
  <c r="R45" i="5"/>
  <c r="S45" i="5" s="1"/>
  <c r="O45" i="5"/>
  <c r="P45" i="5" s="1"/>
  <c r="Q45" i="5" s="1"/>
  <c r="O58" i="5"/>
  <c r="P58" i="5" s="1"/>
  <c r="Q58" i="5" s="1"/>
  <c r="R58" i="5"/>
  <c r="S58" i="5" s="1"/>
  <c r="O40" i="5"/>
  <c r="P40" i="5" s="1"/>
  <c r="Q40" i="5" s="1"/>
  <c r="R40" i="5"/>
  <c r="S40" i="5" s="1"/>
  <c r="R60" i="5"/>
  <c r="S60" i="5" s="1"/>
  <c r="O60" i="5"/>
  <c r="P60" i="5" s="1"/>
  <c r="Q60" i="5" s="1"/>
  <c r="R47" i="5"/>
  <c r="S47" i="5" s="1"/>
  <c r="O47" i="5"/>
  <c r="P47" i="5" s="1"/>
  <c r="Q47" i="5" s="1"/>
  <c r="R41" i="5"/>
  <c r="S41" i="5" s="1"/>
  <c r="O41" i="5"/>
  <c r="P41" i="5" s="1"/>
  <c r="Q41" i="5" s="1"/>
  <c r="O42" i="5"/>
  <c r="P42" i="5" s="1"/>
  <c r="Q42" i="5" s="1"/>
  <c r="R42" i="5"/>
  <c r="S42" i="5" s="1"/>
  <c r="O56" i="5"/>
  <c r="P56" i="5" s="1"/>
  <c r="Q56" i="5" s="1"/>
  <c r="R56" i="5"/>
  <c r="S56" i="5" s="1"/>
  <c r="U49" i="5"/>
  <c r="T50" i="5"/>
  <c r="R54" i="5"/>
  <c r="S54" i="5" s="1"/>
  <c r="O54" i="5"/>
  <c r="P54" i="5" s="1"/>
  <c r="Q54" i="5" s="1"/>
  <c r="O39" i="5"/>
  <c r="P39" i="5" s="1"/>
  <c r="Q39" i="5" s="1"/>
  <c r="R39" i="5"/>
  <c r="S39" i="5" s="1"/>
  <c r="R43" i="5"/>
  <c r="S43" i="5" s="1"/>
  <c r="O43" i="5"/>
  <c r="P43" i="5" s="1"/>
  <c r="Q43" i="5" s="1"/>
  <c r="R66" i="5"/>
  <c r="S66" i="5" s="1"/>
  <c r="O66" i="5"/>
  <c r="P66" i="5" s="1"/>
  <c r="Q66" i="5" s="1"/>
  <c r="R50" i="5"/>
  <c r="S50" i="5" s="1"/>
  <c r="O50" i="5"/>
  <c r="P50" i="5" s="1"/>
  <c r="Q50" i="5" s="1"/>
  <c r="R37" i="5"/>
  <c r="S37" i="5" s="1"/>
  <c r="O37" i="5"/>
  <c r="P37" i="5" s="1"/>
  <c r="Q37" i="5" s="1"/>
  <c r="R44" i="5"/>
  <c r="S44" i="5" s="1"/>
  <c r="O44" i="5"/>
  <c r="P44" i="5" s="1"/>
  <c r="Q44" i="5" s="1"/>
  <c r="R55" i="5"/>
  <c r="S55" i="5" s="1"/>
  <c r="O55" i="5"/>
  <c r="P55" i="5" s="1"/>
  <c r="Q55" i="5" s="1"/>
  <c r="R57" i="5"/>
  <c r="S57" i="5" s="1"/>
  <c r="O57" i="5"/>
  <c r="P57" i="5" s="1"/>
  <c r="Q57" i="5" s="1"/>
  <c r="O48" i="5"/>
  <c r="P48" i="5" s="1"/>
  <c r="Q48" i="5" s="1"/>
  <c r="R48" i="5"/>
  <c r="S48" i="5" s="1"/>
  <c r="O46" i="5"/>
  <c r="P46" i="5" s="1"/>
  <c r="Q46" i="5" s="1"/>
  <c r="R46" i="5"/>
  <c r="S46" i="5" s="1"/>
  <c r="R59" i="5"/>
  <c r="S59" i="5" s="1"/>
  <c r="O59" i="5"/>
  <c r="P59" i="5" s="1"/>
  <c r="Q59" i="5" s="1"/>
  <c r="U43" i="6"/>
  <c r="V43" i="6" s="1"/>
  <c r="U59" i="6"/>
  <c r="V59" i="6" s="1"/>
  <c r="R28" i="6"/>
  <c r="S28" i="6" s="1"/>
  <c r="T28" i="6" s="1"/>
  <c r="R15" i="6"/>
  <c r="S15" i="6" s="1"/>
  <c r="T15" i="6" s="1"/>
  <c r="U48" i="6"/>
  <c r="V48" i="6" s="1"/>
  <c r="U39" i="6"/>
  <c r="V39" i="6" s="1"/>
  <c r="U61" i="6"/>
  <c r="V61" i="6" s="1"/>
  <c r="U63" i="6"/>
  <c r="V63" i="6" s="1"/>
  <c r="U29" i="6"/>
  <c r="V29" i="6" s="1"/>
  <c r="R23" i="6"/>
  <c r="S23" i="6" s="1"/>
  <c r="T23" i="6" s="1"/>
  <c r="U24" i="6"/>
  <c r="V24" i="6" s="1"/>
  <c r="R18" i="6"/>
  <c r="S18" i="6" s="1"/>
  <c r="T18" i="6" s="1"/>
  <c r="J39" i="6"/>
  <c r="J40" i="6" s="1"/>
  <c r="U54" i="6"/>
  <c r="V54" i="6" s="1"/>
  <c r="R14" i="6"/>
  <c r="S14" i="6" s="1"/>
  <c r="T14" i="6" s="1"/>
  <c r="U25" i="6"/>
  <c r="V25" i="6" s="1"/>
  <c r="J55" i="6"/>
  <c r="J56" i="6" s="1"/>
  <c r="U50" i="6"/>
  <c r="V50" i="6" s="1"/>
  <c r="U51" i="6"/>
  <c r="V51" i="6" s="1"/>
  <c r="U41" i="6"/>
  <c r="V41" i="6" s="1"/>
  <c r="J8" i="6"/>
  <c r="R21" i="6"/>
  <c r="S21" i="6" s="1"/>
  <c r="T21" i="6" s="1"/>
  <c r="R30" i="6"/>
  <c r="S30" i="6" s="1"/>
  <c r="T30" i="6" s="1"/>
  <c r="R31" i="6"/>
  <c r="S31" i="6" s="1"/>
  <c r="T31" i="6" s="1"/>
  <c r="J5" i="6"/>
  <c r="J6" i="6" s="1"/>
  <c r="R20" i="6"/>
  <c r="S20" i="6" s="1"/>
  <c r="T20" i="6" s="1"/>
  <c r="R17" i="6"/>
  <c r="S17" i="6" s="1"/>
  <c r="T17" i="6" s="1"/>
  <c r="R12" i="6"/>
  <c r="S12" i="6" s="1"/>
  <c r="T12" i="6" s="1"/>
  <c r="J7" i="6" s="1"/>
  <c r="R26" i="6"/>
  <c r="S26" i="6" s="1"/>
  <c r="T26" i="6" s="1"/>
  <c r="R22" i="6"/>
  <c r="S22" i="6" s="1"/>
  <c r="T22" i="6" s="1"/>
  <c r="R19" i="6"/>
  <c r="S19" i="6" s="1"/>
  <c r="T19" i="6" s="1"/>
  <c r="R13" i="6"/>
  <c r="S13" i="6" s="1"/>
  <c r="T13" i="6" s="1"/>
  <c r="J57" i="6"/>
  <c r="J59" i="6" s="1"/>
  <c r="J41" i="6"/>
  <c r="J43" i="6" s="1"/>
  <c r="U16" i="6"/>
  <c r="V16" i="6" s="1"/>
  <c r="R16" i="6"/>
  <c r="S16" i="6" s="1"/>
  <c r="T16" i="6" s="1"/>
  <c r="U27" i="6"/>
  <c r="V27" i="6" s="1"/>
  <c r="R27" i="6"/>
  <c r="S27" i="6" s="1"/>
  <c r="T27" i="6" s="1"/>
  <c r="W51" i="6"/>
  <c r="X50" i="6"/>
  <c r="U32" i="6"/>
  <c r="V32" i="6" s="1"/>
  <c r="R32" i="6"/>
  <c r="S32" i="6" s="1"/>
  <c r="T32" i="6" s="1"/>
  <c r="J21" i="6"/>
  <c r="J22" i="6" s="1"/>
  <c r="Q3" i="7"/>
  <c r="R3" i="7" s="1"/>
  <c r="S3" i="7" s="1"/>
  <c r="P64" i="7"/>
  <c r="P66" i="7"/>
  <c r="Q66" i="7" s="1"/>
  <c r="R66" i="7" s="1"/>
  <c r="S66" i="7" s="1"/>
  <c r="Q54" i="7"/>
  <c r="R54" i="7" s="1"/>
  <c r="S54" i="7" s="1"/>
  <c r="T52" i="7"/>
  <c r="U52" i="7" s="1"/>
  <c r="T37" i="7"/>
  <c r="U37" i="7" s="1"/>
  <c r="Q42" i="7"/>
  <c r="R42" i="7" s="1"/>
  <c r="S42" i="7" s="1"/>
  <c r="Q51" i="7"/>
  <c r="R51" i="7" s="1"/>
  <c r="S51" i="7" s="1"/>
  <c r="P41" i="7"/>
  <c r="T8" i="7"/>
  <c r="U8" i="7" s="1"/>
  <c r="Q46" i="7"/>
  <c r="R46" i="7" s="1"/>
  <c r="S46" i="7" s="1"/>
  <c r="T46" i="7"/>
  <c r="U46" i="7" s="1"/>
  <c r="T59" i="7"/>
  <c r="U59" i="7" s="1"/>
  <c r="Q61" i="7"/>
  <c r="R61" i="7" s="1"/>
  <c r="S61" i="7" s="1"/>
  <c r="Q47" i="7"/>
  <c r="R47" i="7" s="1"/>
  <c r="S47" i="7" s="1"/>
  <c r="T47" i="7"/>
  <c r="U47" i="7" s="1"/>
  <c r="T48" i="7"/>
  <c r="U48" i="7" s="1"/>
  <c r="W49" i="3"/>
  <c r="P43" i="3"/>
  <c r="O44" i="3"/>
  <c r="P44" i="3"/>
  <c r="Q64" i="7"/>
  <c r="R64" i="7" s="1"/>
  <c r="S64" i="7" s="1"/>
  <c r="T64" i="7"/>
  <c r="U64" i="7" s="1"/>
  <c r="T66" i="7"/>
  <c r="U66" i="7" s="1"/>
  <c r="T40" i="7"/>
  <c r="U40" i="7" s="1"/>
  <c r="T57" i="7"/>
  <c r="U57" i="7" s="1"/>
  <c r="T62" i="7"/>
  <c r="U62" i="7" s="1"/>
  <c r="T63" i="7"/>
  <c r="U63" i="7" s="1"/>
  <c r="Q32" i="7"/>
  <c r="R32" i="7" s="1"/>
  <c r="S32" i="7" s="1"/>
  <c r="T54" i="7"/>
  <c r="U54" i="7" s="1"/>
  <c r="T65" i="7"/>
  <c r="U65" i="7" s="1"/>
  <c r="Q24" i="7"/>
  <c r="R24" i="7" s="1"/>
  <c r="S24" i="7" s="1"/>
  <c r="T58" i="7"/>
  <c r="U58" i="7" s="1"/>
  <c r="L44" i="7"/>
  <c r="P44" i="7" s="1"/>
  <c r="L55" i="7"/>
  <c r="P55" i="7" s="1"/>
  <c r="Q55" i="7" s="1"/>
  <c r="R55" i="7" s="1"/>
  <c r="S55" i="7" s="1"/>
  <c r="Q22" i="7"/>
  <c r="R22" i="7" s="1"/>
  <c r="S22" i="7" s="1"/>
  <c r="Q19" i="7"/>
  <c r="R19" i="7" s="1"/>
  <c r="S19" i="7" s="1"/>
  <c r="Q13" i="7"/>
  <c r="R13" i="7" s="1"/>
  <c r="S13" i="7" s="1"/>
  <c r="Q25" i="7"/>
  <c r="R25" i="7" s="1"/>
  <c r="S25" i="7" s="1"/>
  <c r="Q11" i="7"/>
  <c r="R11" i="7" s="1"/>
  <c r="S11" i="7" s="1"/>
  <c r="Q21" i="7"/>
  <c r="R21" i="7" s="1"/>
  <c r="S21" i="7" s="1"/>
  <c r="Q31" i="7"/>
  <c r="R31" i="7" s="1"/>
  <c r="S31" i="7" s="1"/>
  <c r="Q20" i="7"/>
  <c r="R20" i="7" s="1"/>
  <c r="S20" i="7" s="1"/>
  <c r="Q28" i="7"/>
  <c r="R28" i="7" s="1"/>
  <c r="S28" i="7" s="1"/>
  <c r="Q16" i="7"/>
  <c r="R16" i="7" s="1"/>
  <c r="S16" i="7" s="1"/>
  <c r="Q26" i="7"/>
  <c r="R26" i="7" s="1"/>
  <c r="S26" i="7" s="1"/>
  <c r="Q4" i="7"/>
  <c r="R4" i="7" s="1"/>
  <c r="S4" i="7" s="1"/>
  <c r="Q14" i="7"/>
  <c r="R14" i="7" s="1"/>
  <c r="S14" i="7" s="1"/>
  <c r="T23" i="7"/>
  <c r="U23" i="7" s="1"/>
  <c r="Q23" i="7"/>
  <c r="R23" i="7" s="1"/>
  <c r="S23" i="7" s="1"/>
  <c r="Q9" i="7"/>
  <c r="R9" i="7" s="1"/>
  <c r="S9" i="7" s="1"/>
  <c r="T56" i="7"/>
  <c r="U56" i="7" s="1"/>
  <c r="Q17" i="7"/>
  <c r="R17" i="7" s="1"/>
  <c r="S17" i="7" s="1"/>
  <c r="Q15" i="7"/>
  <c r="R15" i="7" s="1"/>
  <c r="S15" i="7" s="1"/>
  <c r="W48" i="7"/>
  <c r="T50" i="7"/>
  <c r="U50" i="7" s="1"/>
  <c r="Q5" i="7"/>
  <c r="R5" i="7" s="1"/>
  <c r="S5" i="7" s="1"/>
  <c r="Q27" i="7"/>
  <c r="R27" i="7" s="1"/>
  <c r="S27" i="7" s="1"/>
  <c r="T60" i="7"/>
  <c r="U60" i="7" s="1"/>
  <c r="Q10" i="7"/>
  <c r="R10" i="7" s="1"/>
  <c r="S10" i="7" s="1"/>
  <c r="Q6" i="7"/>
  <c r="R6" i="7" s="1"/>
  <c r="S6" i="7" s="1"/>
  <c r="T49" i="7"/>
  <c r="U49" i="7" s="1"/>
  <c r="Q37" i="7"/>
  <c r="R37" i="7" s="1"/>
  <c r="S37" i="7" s="1"/>
  <c r="T43" i="7"/>
  <c r="U43" i="7" s="1"/>
  <c r="T39" i="7"/>
  <c r="U39" i="7" s="1"/>
  <c r="T45" i="7"/>
  <c r="U45" i="7" s="1"/>
  <c r="Q30" i="7"/>
  <c r="R30" i="7" s="1"/>
  <c r="S30" i="7" s="1"/>
  <c r="T38" i="7"/>
  <c r="U38" i="7" s="1"/>
  <c r="I21" i="7"/>
  <c r="I22" i="7" s="1"/>
  <c r="T7" i="7"/>
  <c r="U7" i="7" s="1"/>
  <c r="Q7" i="7"/>
  <c r="R7" i="7" s="1"/>
  <c r="S7" i="7" s="1"/>
  <c r="Q29" i="7"/>
  <c r="R29" i="7" s="1"/>
  <c r="S29" i="7" s="1"/>
  <c r="T53" i="7"/>
  <c r="U53" i="7" s="1"/>
  <c r="T42" i="7"/>
  <c r="U42" i="7" s="1"/>
  <c r="Q18" i="7"/>
  <c r="R18" i="7" s="1"/>
  <c r="S18" i="7" s="1"/>
  <c r="Q12" i="7"/>
  <c r="R12" i="7" s="1"/>
  <c r="S12" i="7" s="1"/>
  <c r="I5" i="7"/>
  <c r="I6" i="7" s="1"/>
  <c r="B25" i="3"/>
  <c r="E24" i="2"/>
  <c r="E23" i="2"/>
  <c r="E21" i="2"/>
  <c r="E5" i="2"/>
  <c r="E8" i="2"/>
  <c r="E7" i="2"/>
  <c r="B6" i="3"/>
  <c r="B22" i="3"/>
  <c r="B18" i="3"/>
  <c r="B17" i="3"/>
  <c r="V12" i="3"/>
  <c r="V20" i="3" s="1"/>
  <c r="V11" i="3"/>
  <c r="V10" i="3"/>
  <c r="V9" i="3"/>
  <c r="V8" i="3"/>
  <c r="V7" i="3"/>
  <c r="O7" i="3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B7" i="3"/>
  <c r="V6" i="3"/>
  <c r="V5" i="3"/>
  <c r="V4" i="3"/>
  <c r="V3" i="3"/>
  <c r="B6" i="2"/>
  <c r="B22" i="2"/>
  <c r="V10" i="7" l="1"/>
  <c r="W10" i="7" s="1"/>
  <c r="V11" i="7"/>
  <c r="W11" i="7" s="1"/>
  <c r="V9" i="7"/>
  <c r="W9" i="7" s="1"/>
  <c r="V8" i="7"/>
  <c r="W8" i="7" s="1"/>
  <c r="V5" i="7"/>
  <c r="W5" i="7" s="1"/>
  <c r="V3" i="7"/>
  <c r="W3" i="7" s="1"/>
  <c r="V12" i="7"/>
  <c r="V7" i="7"/>
  <c r="W7" i="7" s="1"/>
  <c r="V4" i="7"/>
  <c r="W4" i="7" s="1"/>
  <c r="V6" i="7"/>
  <c r="W6" i="7" s="1"/>
  <c r="T7" i="5"/>
  <c r="U7" i="5" s="1"/>
  <c r="T11" i="5"/>
  <c r="U11" i="5" s="1"/>
  <c r="T10" i="5"/>
  <c r="U10" i="5" s="1"/>
  <c r="T6" i="5"/>
  <c r="U6" i="5" s="1"/>
  <c r="T12" i="5"/>
  <c r="T9" i="5"/>
  <c r="U9" i="5" s="1"/>
  <c r="T4" i="5"/>
  <c r="U4" i="5" s="1"/>
  <c r="T5" i="5"/>
  <c r="U5" i="5" s="1"/>
  <c r="T8" i="5"/>
  <c r="U8" i="5" s="1"/>
  <c r="T3" i="5"/>
  <c r="U3" i="5" s="1"/>
  <c r="B19" i="9"/>
  <c r="B21" i="9" s="1"/>
  <c r="D8" i="8"/>
  <c r="W6" i="6"/>
  <c r="X6" i="6" s="1"/>
  <c r="W9" i="6"/>
  <c r="X9" i="6" s="1"/>
  <c r="W11" i="6"/>
  <c r="X11" i="6" s="1"/>
  <c r="W5" i="6"/>
  <c r="X5" i="6" s="1"/>
  <c r="W12" i="6"/>
  <c r="W10" i="6"/>
  <c r="X10" i="6" s="1"/>
  <c r="W3" i="6"/>
  <c r="X3" i="6" s="1"/>
  <c r="W8" i="6"/>
  <c r="X8" i="6" s="1"/>
  <c r="W4" i="6"/>
  <c r="X4" i="6" s="1"/>
  <c r="W7" i="6"/>
  <c r="X7" i="6" s="1"/>
  <c r="C9" i="9"/>
  <c r="G57" i="5"/>
  <c r="G59" i="5" s="1"/>
  <c r="G41" i="5"/>
  <c r="G58" i="5"/>
  <c r="G42" i="5"/>
  <c r="G43" i="5"/>
  <c r="U50" i="5"/>
  <c r="T51" i="5"/>
  <c r="J42" i="6"/>
  <c r="J58" i="6"/>
  <c r="J9" i="6"/>
  <c r="J23" i="6"/>
  <c r="J49" i="6"/>
  <c r="J50" i="6"/>
  <c r="J24" i="6"/>
  <c r="J25" i="6" s="1"/>
  <c r="W52" i="6"/>
  <c r="X51" i="6"/>
  <c r="I39" i="7"/>
  <c r="I40" i="7" s="1"/>
  <c r="T41" i="7"/>
  <c r="U41" i="7" s="1"/>
  <c r="Q41" i="7"/>
  <c r="R41" i="7" s="1"/>
  <c r="S41" i="7" s="1"/>
  <c r="T55" i="7"/>
  <c r="U55" i="7" s="1"/>
  <c r="I55" i="7"/>
  <c r="I56" i="7" s="1"/>
  <c r="T44" i="3"/>
  <c r="U44" i="3" s="1"/>
  <c r="Q44" i="3"/>
  <c r="R44" i="3" s="1"/>
  <c r="S44" i="3" s="1"/>
  <c r="O45" i="3"/>
  <c r="W50" i="3"/>
  <c r="Q43" i="3"/>
  <c r="R43" i="3" s="1"/>
  <c r="S43" i="3" s="1"/>
  <c r="T43" i="3"/>
  <c r="U43" i="3" s="1"/>
  <c r="B26" i="3"/>
  <c r="Q44" i="7"/>
  <c r="R44" i="7" s="1"/>
  <c r="S44" i="7" s="1"/>
  <c r="I57" i="7" s="1"/>
  <c r="I59" i="7" s="1"/>
  <c r="T44" i="7"/>
  <c r="U44" i="7" s="1"/>
  <c r="I24" i="7"/>
  <c r="I23" i="7"/>
  <c r="I7" i="7"/>
  <c r="I8" i="7"/>
  <c r="W49" i="7"/>
  <c r="L27" i="3"/>
  <c r="P27" i="3" s="1"/>
  <c r="W7" i="3"/>
  <c r="W3" i="3"/>
  <c r="W5" i="3"/>
  <c r="W9" i="3"/>
  <c r="W6" i="3"/>
  <c r="W10" i="3"/>
  <c r="W4" i="3"/>
  <c r="B23" i="3"/>
  <c r="W20" i="3"/>
  <c r="L14" i="3"/>
  <c r="P14" i="3" s="1"/>
  <c r="L24" i="3"/>
  <c r="P24" i="3" s="1"/>
  <c r="V18" i="3"/>
  <c r="W18" i="3" s="1"/>
  <c r="V16" i="3"/>
  <c r="W16" i="3" s="1"/>
  <c r="V19" i="3"/>
  <c r="W19" i="3" s="1"/>
  <c r="V27" i="3"/>
  <c r="W27" i="3" s="1"/>
  <c r="V30" i="3"/>
  <c r="W30" i="3" s="1"/>
  <c r="W12" i="3"/>
  <c r="L26" i="3"/>
  <c r="P26" i="3" s="1"/>
  <c r="L23" i="3"/>
  <c r="P23" i="3" s="1"/>
  <c r="L21" i="3"/>
  <c r="P21" i="3" s="1"/>
  <c r="L15" i="3"/>
  <c r="P15" i="3" s="1"/>
  <c r="L32" i="3"/>
  <c r="P32" i="3" s="1"/>
  <c r="L29" i="3"/>
  <c r="P29" i="3" s="1"/>
  <c r="L25" i="3"/>
  <c r="P25" i="3" s="1"/>
  <c r="L17" i="3"/>
  <c r="P17" i="3" s="1"/>
  <c r="L11" i="3"/>
  <c r="P11" i="3" s="1"/>
  <c r="L8" i="3"/>
  <c r="P8" i="3" s="1"/>
  <c r="L31" i="3"/>
  <c r="P31" i="3" s="1"/>
  <c r="L28" i="3"/>
  <c r="P28" i="3" s="1"/>
  <c r="L22" i="3"/>
  <c r="P22" i="3" s="1"/>
  <c r="L10" i="3"/>
  <c r="P10" i="3" s="1"/>
  <c r="L5" i="3"/>
  <c r="P5" i="3" s="1"/>
  <c r="L13" i="3"/>
  <c r="P13" i="3" s="1"/>
  <c r="V14" i="3"/>
  <c r="L19" i="3"/>
  <c r="P19" i="3" s="1"/>
  <c r="V24" i="3"/>
  <c r="W24" i="3" s="1"/>
  <c r="L6" i="3"/>
  <c r="P6" i="3" s="1"/>
  <c r="L3" i="3"/>
  <c r="P3" i="3" s="1"/>
  <c r="L7" i="3"/>
  <c r="P7" i="3" s="1"/>
  <c r="L9" i="3"/>
  <c r="P9" i="3" s="1"/>
  <c r="L12" i="3"/>
  <c r="P12" i="3" s="1"/>
  <c r="L20" i="3"/>
  <c r="P20" i="3" s="1"/>
  <c r="L4" i="3"/>
  <c r="P4" i="3" s="1"/>
  <c r="L16" i="3"/>
  <c r="P16" i="3" s="1"/>
  <c r="V26" i="3"/>
  <c r="W26" i="3" s="1"/>
  <c r="V23" i="3"/>
  <c r="W23" i="3" s="1"/>
  <c r="V21" i="3"/>
  <c r="W21" i="3" s="1"/>
  <c r="V15" i="3"/>
  <c r="W15" i="3" s="1"/>
  <c r="V32" i="3"/>
  <c r="W32" i="3" s="1"/>
  <c r="V29" i="3"/>
  <c r="W29" i="3" s="1"/>
  <c r="V25" i="3"/>
  <c r="W25" i="3" s="1"/>
  <c r="V17" i="3"/>
  <c r="W17" i="3" s="1"/>
  <c r="V31" i="3"/>
  <c r="W31" i="3" s="1"/>
  <c r="V28" i="3"/>
  <c r="W28" i="3" s="1"/>
  <c r="V22" i="3"/>
  <c r="W22" i="3" s="1"/>
  <c r="V13" i="3"/>
  <c r="W13" i="3" s="1"/>
  <c r="L18" i="3"/>
  <c r="P18" i="3" s="1"/>
  <c r="L30" i="3"/>
  <c r="P30" i="3" s="1"/>
  <c r="W8" i="3"/>
  <c r="W11" i="3"/>
  <c r="B18" i="2"/>
  <c r="B17" i="2"/>
  <c r="T15" i="5" l="1"/>
  <c r="U15" i="5" s="1"/>
  <c r="T25" i="5"/>
  <c r="U25" i="5" s="1"/>
  <c r="T28" i="5"/>
  <c r="U28" i="5" s="1"/>
  <c r="T30" i="5"/>
  <c r="U30" i="5" s="1"/>
  <c r="T17" i="5"/>
  <c r="U17" i="5" s="1"/>
  <c r="T22" i="5"/>
  <c r="U22" i="5" s="1"/>
  <c r="U12" i="5"/>
  <c r="G13" i="5" s="1"/>
  <c r="C18" i="9" s="1"/>
  <c r="T29" i="5"/>
  <c r="U29" i="5" s="1"/>
  <c r="T13" i="5"/>
  <c r="U13" i="5" s="1"/>
  <c r="T21" i="5"/>
  <c r="U21" i="5" s="1"/>
  <c r="T14" i="5"/>
  <c r="T32" i="5"/>
  <c r="U32" i="5" s="1"/>
  <c r="T26" i="5"/>
  <c r="U26" i="5" s="1"/>
  <c r="T23" i="5"/>
  <c r="U23" i="5" s="1"/>
  <c r="T27" i="5"/>
  <c r="U27" i="5" s="1"/>
  <c r="T18" i="5"/>
  <c r="U18" i="5" s="1"/>
  <c r="T20" i="5"/>
  <c r="U20" i="5" s="1"/>
  <c r="T16" i="5"/>
  <c r="U16" i="5" s="1"/>
  <c r="T19" i="5"/>
  <c r="U19" i="5" s="1"/>
  <c r="T31" i="5"/>
  <c r="U31" i="5" s="1"/>
  <c r="T24" i="5"/>
  <c r="U24" i="5" s="1"/>
  <c r="W26" i="6"/>
  <c r="X26" i="6" s="1"/>
  <c r="W31" i="6"/>
  <c r="X31" i="6" s="1"/>
  <c r="X12" i="6"/>
  <c r="J13" i="6" s="1"/>
  <c r="W17" i="6"/>
  <c r="X17" i="6" s="1"/>
  <c r="W25" i="6"/>
  <c r="X25" i="6" s="1"/>
  <c r="W22" i="6"/>
  <c r="X22" i="6" s="1"/>
  <c r="W27" i="6"/>
  <c r="X27" i="6" s="1"/>
  <c r="W24" i="6"/>
  <c r="X24" i="6" s="1"/>
  <c r="W14" i="6"/>
  <c r="W18" i="6"/>
  <c r="X18" i="6" s="1"/>
  <c r="W32" i="6"/>
  <c r="X32" i="6" s="1"/>
  <c r="W13" i="6"/>
  <c r="X13" i="6" s="1"/>
  <c r="W23" i="6"/>
  <c r="X23" i="6" s="1"/>
  <c r="W29" i="6"/>
  <c r="X29" i="6" s="1"/>
  <c r="W28" i="6"/>
  <c r="X28" i="6" s="1"/>
  <c r="W15" i="6"/>
  <c r="X15" i="6" s="1"/>
  <c r="W30" i="6"/>
  <c r="X30" i="6" s="1"/>
  <c r="W16" i="6"/>
  <c r="X16" i="6" s="1"/>
  <c r="W21" i="6"/>
  <c r="X21" i="6" s="1"/>
  <c r="W19" i="6"/>
  <c r="X19" i="6" s="1"/>
  <c r="W20" i="6"/>
  <c r="X20" i="6" s="1"/>
  <c r="V13" i="7"/>
  <c r="W13" i="7" s="1"/>
  <c r="V18" i="7"/>
  <c r="W18" i="7" s="1"/>
  <c r="V19" i="7"/>
  <c r="W19" i="7" s="1"/>
  <c r="V31" i="7"/>
  <c r="W31" i="7" s="1"/>
  <c r="V23" i="7"/>
  <c r="W23" i="7" s="1"/>
  <c r="V14" i="7"/>
  <c r="V25" i="7"/>
  <c r="W25" i="7" s="1"/>
  <c r="V24" i="7"/>
  <c r="W24" i="7" s="1"/>
  <c r="V17" i="7"/>
  <c r="W17" i="7" s="1"/>
  <c r="V30" i="7"/>
  <c r="W30" i="7" s="1"/>
  <c r="V28" i="7"/>
  <c r="W28" i="7" s="1"/>
  <c r="V15" i="7"/>
  <c r="W15" i="7" s="1"/>
  <c r="V29" i="7"/>
  <c r="W29" i="7" s="1"/>
  <c r="V20" i="7"/>
  <c r="W20" i="7" s="1"/>
  <c r="V32" i="7"/>
  <c r="W32" i="7" s="1"/>
  <c r="V22" i="7"/>
  <c r="W22" i="7" s="1"/>
  <c r="V21" i="7"/>
  <c r="W21" i="7" s="1"/>
  <c r="V26" i="7"/>
  <c r="W26" i="7" s="1"/>
  <c r="V16" i="7"/>
  <c r="W16" i="7" s="1"/>
  <c r="W12" i="7"/>
  <c r="I13" i="7" s="1"/>
  <c r="C15" i="9" s="1"/>
  <c r="V27" i="7"/>
  <c r="W27" i="7" s="1"/>
  <c r="W14" i="3"/>
  <c r="I29" i="3" s="1"/>
  <c r="D17" i="9" s="1"/>
  <c r="E17" i="9"/>
  <c r="G50" i="5"/>
  <c r="G49" i="5"/>
  <c r="T52" i="5"/>
  <c r="U51" i="5"/>
  <c r="W53" i="6"/>
  <c r="X52" i="6"/>
  <c r="I58" i="7"/>
  <c r="I41" i="7"/>
  <c r="I43" i="7" s="1"/>
  <c r="I50" i="7" s="1"/>
  <c r="I42" i="7"/>
  <c r="O46" i="3"/>
  <c r="P45" i="3"/>
  <c r="W51" i="3"/>
  <c r="I25" i="7"/>
  <c r="W50" i="7"/>
  <c r="I9" i="7"/>
  <c r="I13" i="3"/>
  <c r="C17" i="9" s="1"/>
  <c r="I21" i="3"/>
  <c r="I22" i="3" s="1"/>
  <c r="I5" i="3"/>
  <c r="I6" i="3" s="1"/>
  <c r="Q20" i="3"/>
  <c r="R20" i="3" s="1"/>
  <c r="S20" i="3" s="1"/>
  <c r="T20" i="3"/>
  <c r="U20" i="3" s="1"/>
  <c r="Q13" i="3"/>
  <c r="R13" i="3" s="1"/>
  <c r="S13" i="3" s="1"/>
  <c r="T13" i="3"/>
  <c r="U13" i="3" s="1"/>
  <c r="T17" i="3"/>
  <c r="U17" i="3" s="1"/>
  <c r="Q17" i="3"/>
  <c r="R17" i="3" s="1"/>
  <c r="S17" i="3" s="1"/>
  <c r="T27" i="3"/>
  <c r="U27" i="3" s="1"/>
  <c r="Q27" i="3"/>
  <c r="R27" i="3" s="1"/>
  <c r="S27" i="3" s="1"/>
  <c r="T12" i="3"/>
  <c r="U12" i="3" s="1"/>
  <c r="Q12" i="3"/>
  <c r="R12" i="3" s="1"/>
  <c r="S12" i="3" s="1"/>
  <c r="Q5" i="3"/>
  <c r="R5" i="3" s="1"/>
  <c r="S5" i="3" s="1"/>
  <c r="T5" i="3"/>
  <c r="U5" i="3" s="1"/>
  <c r="T25" i="3"/>
  <c r="U25" i="3" s="1"/>
  <c r="Q25" i="3"/>
  <c r="R25" i="3" s="1"/>
  <c r="S25" i="3" s="1"/>
  <c r="Q9" i="3"/>
  <c r="R9" i="3" s="1"/>
  <c r="S9" i="3" s="1"/>
  <c r="T9" i="3"/>
  <c r="U9" i="3" s="1"/>
  <c r="Q10" i="3"/>
  <c r="R10" i="3" s="1"/>
  <c r="S10" i="3" s="1"/>
  <c r="T10" i="3"/>
  <c r="U10" i="3" s="1"/>
  <c r="Q22" i="3"/>
  <c r="R22" i="3" s="1"/>
  <c r="S22" i="3" s="1"/>
  <c r="T22" i="3"/>
  <c r="U22" i="3" s="1"/>
  <c r="Q28" i="3"/>
  <c r="R28" i="3" s="1"/>
  <c r="S28" i="3" s="1"/>
  <c r="T28" i="3"/>
  <c r="U28" i="3" s="1"/>
  <c r="T18" i="3"/>
  <c r="U18" i="3" s="1"/>
  <c r="Q18" i="3"/>
  <c r="R18" i="3" s="1"/>
  <c r="S18" i="3" s="1"/>
  <c r="Q4" i="3"/>
  <c r="R4" i="3" s="1"/>
  <c r="S4" i="3" s="1"/>
  <c r="T4" i="3"/>
  <c r="U4" i="3" s="1"/>
  <c r="Q31" i="3"/>
  <c r="R31" i="3" s="1"/>
  <c r="S31" i="3" s="1"/>
  <c r="T31" i="3"/>
  <c r="U31" i="3" s="1"/>
  <c r="T21" i="3"/>
  <c r="U21" i="3" s="1"/>
  <c r="Q21" i="3"/>
  <c r="R21" i="3" s="1"/>
  <c r="S21" i="3" s="1"/>
  <c r="Q19" i="3"/>
  <c r="R19" i="3" s="1"/>
  <c r="S19" i="3" s="1"/>
  <c r="T19" i="3"/>
  <c r="U19" i="3" s="1"/>
  <c r="T30" i="3"/>
  <c r="U30" i="3" s="1"/>
  <c r="Q30" i="3"/>
  <c r="R30" i="3" s="1"/>
  <c r="S30" i="3" s="1"/>
  <c r="Q16" i="3"/>
  <c r="R16" i="3" s="1"/>
  <c r="S16" i="3" s="1"/>
  <c r="T16" i="3"/>
  <c r="U16" i="3" s="1"/>
  <c r="T3" i="3"/>
  <c r="U3" i="3" s="1"/>
  <c r="Q3" i="3"/>
  <c r="R3" i="3" s="1"/>
  <c r="S3" i="3" s="1"/>
  <c r="T15" i="3"/>
  <c r="U15" i="3" s="1"/>
  <c r="Q15" i="3"/>
  <c r="R15" i="3" s="1"/>
  <c r="S15" i="3" s="1"/>
  <c r="T6" i="3"/>
  <c r="U6" i="3" s="1"/>
  <c r="Q6" i="3"/>
  <c r="R6" i="3" s="1"/>
  <c r="S6" i="3" s="1"/>
  <c r="T8" i="3"/>
  <c r="U8" i="3" s="1"/>
  <c r="Q8" i="3"/>
  <c r="R8" i="3" s="1"/>
  <c r="S8" i="3" s="1"/>
  <c r="T23" i="3"/>
  <c r="U23" i="3" s="1"/>
  <c r="Q23" i="3"/>
  <c r="R23" i="3" s="1"/>
  <c r="S23" i="3" s="1"/>
  <c r="Q29" i="3"/>
  <c r="R29" i="3" s="1"/>
  <c r="S29" i="3" s="1"/>
  <c r="T29" i="3"/>
  <c r="U29" i="3" s="1"/>
  <c r="Q7" i="3"/>
  <c r="R7" i="3" s="1"/>
  <c r="S7" i="3" s="1"/>
  <c r="T7" i="3"/>
  <c r="U7" i="3" s="1"/>
  <c r="Q32" i="3"/>
  <c r="R32" i="3" s="1"/>
  <c r="S32" i="3" s="1"/>
  <c r="T32" i="3"/>
  <c r="U32" i="3" s="1"/>
  <c r="T14" i="3"/>
  <c r="U14" i="3" s="1"/>
  <c r="Q14" i="3"/>
  <c r="R14" i="3" s="1"/>
  <c r="S14" i="3" s="1"/>
  <c r="T11" i="3"/>
  <c r="U11" i="3" s="1"/>
  <c r="Q11" i="3"/>
  <c r="R11" i="3" s="1"/>
  <c r="S11" i="3" s="1"/>
  <c r="T26" i="3"/>
  <c r="U26" i="3" s="1"/>
  <c r="Q26" i="3"/>
  <c r="R26" i="3" s="1"/>
  <c r="S26" i="3" s="1"/>
  <c r="Q24" i="3"/>
  <c r="R24" i="3" s="1"/>
  <c r="S24" i="3" s="1"/>
  <c r="T24" i="3"/>
  <c r="U24" i="3" s="1"/>
  <c r="R47" i="2"/>
  <c r="K41" i="2"/>
  <c r="R12" i="2"/>
  <c r="R23" i="2" s="1"/>
  <c r="S23" i="2" s="1"/>
  <c r="R11" i="2"/>
  <c r="R10" i="2"/>
  <c r="R9" i="2"/>
  <c r="B9" i="2"/>
  <c r="R8" i="2"/>
  <c r="B8" i="2"/>
  <c r="R7" i="2"/>
  <c r="S7" i="2" s="1"/>
  <c r="K7" i="2"/>
  <c r="B7" i="2"/>
  <c r="B23" i="2" s="1"/>
  <c r="H37" i="2" s="1"/>
  <c r="R6" i="2"/>
  <c r="H19" i="2"/>
  <c r="R5" i="2"/>
  <c r="R4" i="2"/>
  <c r="S4" i="2" s="1"/>
  <c r="R3" i="2"/>
  <c r="S3" i="2" s="1"/>
  <c r="C16" i="9" l="1"/>
  <c r="J15" i="6"/>
  <c r="J16" i="6"/>
  <c r="J16" i="9" s="1"/>
  <c r="U14" i="5"/>
  <c r="G29" i="5" s="1"/>
  <c r="D18" i="9" s="1"/>
  <c r="E18" i="9"/>
  <c r="C21" i="9"/>
  <c r="X14" i="6"/>
  <c r="J29" i="6" s="1"/>
  <c r="E16" i="9"/>
  <c r="W14" i="7"/>
  <c r="E15" i="9"/>
  <c r="I16" i="7"/>
  <c r="J15" i="9" s="1"/>
  <c r="I29" i="7"/>
  <c r="D15" i="9" s="1"/>
  <c r="T53" i="5"/>
  <c r="U52" i="5"/>
  <c r="X53" i="6"/>
  <c r="W54" i="6"/>
  <c r="I49" i="7"/>
  <c r="O47" i="3"/>
  <c r="P46" i="3"/>
  <c r="W52" i="3"/>
  <c r="T45" i="3"/>
  <c r="U45" i="3" s="1"/>
  <c r="Q45" i="3"/>
  <c r="R45" i="3" s="1"/>
  <c r="S45" i="3" s="1"/>
  <c r="I40" i="3"/>
  <c r="I15" i="7"/>
  <c r="W51" i="7"/>
  <c r="I8" i="3"/>
  <c r="I24" i="3"/>
  <c r="I7" i="3"/>
  <c r="I23" i="3"/>
  <c r="H38" i="2"/>
  <c r="H50" i="2"/>
  <c r="H62" i="2"/>
  <c r="H61" i="2"/>
  <c r="H39" i="2"/>
  <c r="L39" i="2" s="1"/>
  <c r="H51" i="2"/>
  <c r="H63" i="2"/>
  <c r="H40" i="2"/>
  <c r="L40" i="2" s="1"/>
  <c r="H52" i="2"/>
  <c r="H64" i="2"/>
  <c r="H54" i="2"/>
  <c r="H41" i="2"/>
  <c r="L41" i="2" s="1"/>
  <c r="H53" i="2"/>
  <c r="H65" i="2"/>
  <c r="H66" i="2"/>
  <c r="H42" i="2"/>
  <c r="H43" i="2"/>
  <c r="H55" i="2"/>
  <c r="H59" i="2"/>
  <c r="H44" i="2"/>
  <c r="H56" i="2"/>
  <c r="H60" i="2"/>
  <c r="H45" i="2"/>
  <c r="H57" i="2"/>
  <c r="H46" i="2"/>
  <c r="H58" i="2"/>
  <c r="H47" i="2"/>
  <c r="H48" i="2"/>
  <c r="H49" i="2"/>
  <c r="S45" i="2"/>
  <c r="S39" i="2"/>
  <c r="S9" i="2"/>
  <c r="R25" i="2"/>
  <c r="S25" i="2" s="1"/>
  <c r="S42" i="2"/>
  <c r="S8" i="2"/>
  <c r="S5" i="2"/>
  <c r="R21" i="2"/>
  <c r="S21" i="2" s="1"/>
  <c r="S6" i="2"/>
  <c r="S10" i="2"/>
  <c r="R32" i="2"/>
  <c r="S32" i="2" s="1"/>
  <c r="S11" i="2"/>
  <c r="K42" i="2"/>
  <c r="S43" i="2"/>
  <c r="S40" i="2"/>
  <c r="S46" i="2"/>
  <c r="K8" i="2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H28" i="2"/>
  <c r="H6" i="2"/>
  <c r="L6" i="2" s="1"/>
  <c r="S12" i="2"/>
  <c r="R30" i="2"/>
  <c r="S30" i="2" s="1"/>
  <c r="H9" i="2"/>
  <c r="S37" i="2"/>
  <c r="S38" i="2"/>
  <c r="S44" i="2"/>
  <c r="R48" i="2"/>
  <c r="S47" i="2"/>
  <c r="L38" i="2"/>
  <c r="L37" i="2"/>
  <c r="H32" i="2"/>
  <c r="H30" i="2"/>
  <c r="H25" i="2"/>
  <c r="H23" i="2"/>
  <c r="H21" i="2"/>
  <c r="H10" i="2"/>
  <c r="H8" i="2"/>
  <c r="H4" i="2"/>
  <c r="L4" i="2" s="1"/>
  <c r="H27" i="2"/>
  <c r="H18" i="2"/>
  <c r="H16" i="2"/>
  <c r="H12" i="2"/>
  <c r="H3" i="2"/>
  <c r="L3" i="2" s="1"/>
  <c r="H29" i="2"/>
  <c r="H14" i="2"/>
  <c r="H31" i="2"/>
  <c r="H24" i="2"/>
  <c r="H22" i="2"/>
  <c r="H20" i="2"/>
  <c r="H26" i="2"/>
  <c r="H11" i="2"/>
  <c r="H7" i="2"/>
  <c r="L7" i="2" s="1"/>
  <c r="P7" i="2" s="1"/>
  <c r="Q7" i="2" s="1"/>
  <c r="H5" i="2"/>
  <c r="L5" i="2" s="1"/>
  <c r="H17" i="2"/>
  <c r="H15" i="2"/>
  <c r="H13" i="2"/>
  <c r="R19" i="2"/>
  <c r="S19" i="2" s="1"/>
  <c r="R28" i="2"/>
  <c r="S28" i="2" s="1"/>
  <c r="R13" i="2"/>
  <c r="S13" i="2" s="1"/>
  <c r="R15" i="2"/>
  <c r="S15" i="2" s="1"/>
  <c r="R17" i="2"/>
  <c r="S17" i="2" s="1"/>
  <c r="R26" i="2"/>
  <c r="S26" i="2" s="1"/>
  <c r="R20" i="2"/>
  <c r="S20" i="2" s="1"/>
  <c r="R22" i="2"/>
  <c r="S22" i="2" s="1"/>
  <c r="R24" i="2"/>
  <c r="S24" i="2" s="1"/>
  <c r="R31" i="2"/>
  <c r="S31" i="2" s="1"/>
  <c r="R14" i="2"/>
  <c r="S14" i="2" s="1"/>
  <c r="R29" i="2"/>
  <c r="S29" i="2" s="1"/>
  <c r="R16" i="2"/>
  <c r="S16" i="2" s="1"/>
  <c r="R18" i="2"/>
  <c r="S18" i="2" s="1"/>
  <c r="R27" i="2"/>
  <c r="S27" i="2" s="1"/>
  <c r="S41" i="2"/>
  <c r="D16" i="9" l="1"/>
  <c r="J31" i="6"/>
  <c r="J32" i="6"/>
  <c r="K16" i="9" s="1"/>
  <c r="D21" i="9"/>
  <c r="I31" i="7"/>
  <c r="I32" i="7"/>
  <c r="K15" i="9" s="1"/>
  <c r="E21" i="9"/>
  <c r="E29" i="2"/>
  <c r="E13" i="2"/>
  <c r="U53" i="5"/>
  <c r="T54" i="5"/>
  <c r="W55" i="6"/>
  <c r="X54" i="6"/>
  <c r="Q46" i="3"/>
  <c r="R46" i="3" s="1"/>
  <c r="S46" i="3" s="1"/>
  <c r="T46" i="3"/>
  <c r="U46" i="3" s="1"/>
  <c r="O48" i="3"/>
  <c r="P47" i="3"/>
  <c r="P48" i="3"/>
  <c r="I43" i="3"/>
  <c r="W53" i="3"/>
  <c r="W52" i="7"/>
  <c r="I9" i="3"/>
  <c r="I15" i="3" s="1"/>
  <c r="I25" i="3"/>
  <c r="I32" i="3" s="1"/>
  <c r="K17" i="9" s="1"/>
  <c r="L15" i="2"/>
  <c r="M15" i="2" s="1"/>
  <c r="N15" i="2" s="1"/>
  <c r="O15" i="2" s="1"/>
  <c r="L24" i="2"/>
  <c r="M24" i="2" s="1"/>
  <c r="N24" i="2" s="1"/>
  <c r="O24" i="2" s="1"/>
  <c r="L20" i="2"/>
  <c r="P20" i="2" s="1"/>
  <c r="Q20" i="2" s="1"/>
  <c r="L16" i="2"/>
  <c r="M16" i="2" s="1"/>
  <c r="N16" i="2" s="1"/>
  <c r="O16" i="2" s="1"/>
  <c r="L25" i="2"/>
  <c r="M25" i="2" s="1"/>
  <c r="N25" i="2" s="1"/>
  <c r="O25" i="2" s="1"/>
  <c r="L13" i="2"/>
  <c r="M13" i="2" s="1"/>
  <c r="N13" i="2" s="1"/>
  <c r="O13" i="2" s="1"/>
  <c r="L22" i="2"/>
  <c r="M22" i="2" s="1"/>
  <c r="N22" i="2" s="1"/>
  <c r="O22" i="2" s="1"/>
  <c r="L18" i="2"/>
  <c r="P18" i="2" s="1"/>
  <c r="Q18" i="2" s="1"/>
  <c r="L30" i="2"/>
  <c r="P30" i="2" s="1"/>
  <c r="Q30" i="2" s="1"/>
  <c r="L28" i="2"/>
  <c r="P28" i="2" s="1"/>
  <c r="Q28" i="2" s="1"/>
  <c r="L17" i="2"/>
  <c r="M17" i="2" s="1"/>
  <c r="N17" i="2" s="1"/>
  <c r="O17" i="2" s="1"/>
  <c r="L31" i="2"/>
  <c r="M31" i="2" s="1"/>
  <c r="N31" i="2" s="1"/>
  <c r="O31" i="2" s="1"/>
  <c r="L14" i="2"/>
  <c r="P14" i="2" s="1"/>
  <c r="Q14" i="2" s="1"/>
  <c r="L8" i="2"/>
  <c r="L27" i="2"/>
  <c r="P27" i="2" s="1"/>
  <c r="Q27" i="2" s="1"/>
  <c r="L32" i="2"/>
  <c r="M32" i="2" s="1"/>
  <c r="N32" i="2" s="1"/>
  <c r="O32" i="2" s="1"/>
  <c r="L29" i="2"/>
  <c r="P29" i="2" s="1"/>
  <c r="Q29" i="2" s="1"/>
  <c r="L10" i="2"/>
  <c r="P10" i="2" s="1"/>
  <c r="Q10" i="2" s="1"/>
  <c r="L9" i="2"/>
  <c r="M9" i="2" s="1"/>
  <c r="N9" i="2" s="1"/>
  <c r="O9" i="2" s="1"/>
  <c r="L11" i="2"/>
  <c r="M11" i="2" s="1"/>
  <c r="N11" i="2" s="1"/>
  <c r="O11" i="2" s="1"/>
  <c r="L21" i="2"/>
  <c r="P21" i="2" s="1"/>
  <c r="Q21" i="2" s="1"/>
  <c r="K43" i="2"/>
  <c r="L43" i="2" s="1"/>
  <c r="L19" i="2"/>
  <c r="P19" i="2" s="1"/>
  <c r="Q19" i="2" s="1"/>
  <c r="L26" i="2"/>
  <c r="M26" i="2" s="1"/>
  <c r="N26" i="2" s="1"/>
  <c r="O26" i="2" s="1"/>
  <c r="L12" i="2"/>
  <c r="P12" i="2" s="1"/>
  <c r="Q12" i="2" s="1"/>
  <c r="L23" i="2"/>
  <c r="P23" i="2" s="1"/>
  <c r="Q23" i="2" s="1"/>
  <c r="L42" i="2"/>
  <c r="S48" i="2"/>
  <c r="R49" i="2"/>
  <c r="M6" i="2"/>
  <c r="N6" i="2" s="1"/>
  <c r="O6" i="2" s="1"/>
  <c r="P6" i="2"/>
  <c r="Q6" i="2" s="1"/>
  <c r="M7" i="2"/>
  <c r="N7" i="2" s="1"/>
  <c r="O7" i="2" s="1"/>
  <c r="U54" i="5" l="1"/>
  <c r="T55" i="5"/>
  <c r="X55" i="6"/>
  <c r="W56" i="6"/>
  <c r="T47" i="3"/>
  <c r="U47" i="3" s="1"/>
  <c r="Q47" i="3"/>
  <c r="R47" i="3" s="1"/>
  <c r="S47" i="3" s="1"/>
  <c r="Q48" i="3"/>
  <c r="R48" i="3" s="1"/>
  <c r="S48" i="3" s="1"/>
  <c r="T48" i="3"/>
  <c r="U48" i="3" s="1"/>
  <c r="O49" i="3"/>
  <c r="W54" i="3"/>
  <c r="I49" i="3"/>
  <c r="I50" i="3"/>
  <c r="I16" i="3"/>
  <c r="J17" i="9" s="1"/>
  <c r="W53" i="7"/>
  <c r="I31" i="3"/>
  <c r="P15" i="2"/>
  <c r="Q15" i="2" s="1"/>
  <c r="P25" i="2"/>
  <c r="Q25" i="2" s="1"/>
  <c r="M20" i="2"/>
  <c r="N20" i="2" s="1"/>
  <c r="O20" i="2" s="1"/>
  <c r="P22" i="2"/>
  <c r="Q22" i="2" s="1"/>
  <c r="E22" i="2"/>
  <c r="P9" i="2"/>
  <c r="Q9" i="2" s="1"/>
  <c r="P31" i="2"/>
  <c r="Q31" i="2" s="1"/>
  <c r="P17" i="2"/>
  <c r="Q17" i="2" s="1"/>
  <c r="P16" i="2"/>
  <c r="Q16" i="2" s="1"/>
  <c r="P8" i="2"/>
  <c r="Q8" i="2" s="1"/>
  <c r="P13" i="2"/>
  <c r="Q13" i="2" s="1"/>
  <c r="M10" i="2"/>
  <c r="N10" i="2" s="1"/>
  <c r="O10" i="2" s="1"/>
  <c r="P24" i="2"/>
  <c r="Q24" i="2" s="1"/>
  <c r="M28" i="2"/>
  <c r="N28" i="2" s="1"/>
  <c r="O28" i="2" s="1"/>
  <c r="M23" i="2"/>
  <c r="N23" i="2" s="1"/>
  <c r="O23" i="2" s="1"/>
  <c r="M29" i="2"/>
  <c r="N29" i="2" s="1"/>
  <c r="O29" i="2" s="1"/>
  <c r="P32" i="2"/>
  <c r="Q32" i="2" s="1"/>
  <c r="P26" i="2"/>
  <c r="Q26" i="2" s="1"/>
  <c r="M27" i="2"/>
  <c r="N27" i="2" s="1"/>
  <c r="O27" i="2" s="1"/>
  <c r="M30" i="2"/>
  <c r="N30" i="2" s="1"/>
  <c r="O30" i="2" s="1"/>
  <c r="M18" i="2"/>
  <c r="N18" i="2" s="1"/>
  <c r="O18" i="2" s="1"/>
  <c r="M19" i="2"/>
  <c r="N19" i="2" s="1"/>
  <c r="O19" i="2" s="1"/>
  <c r="M8" i="2"/>
  <c r="N8" i="2" s="1"/>
  <c r="O8" i="2" s="1"/>
  <c r="M12" i="2"/>
  <c r="N12" i="2" s="1"/>
  <c r="O12" i="2" s="1"/>
  <c r="P11" i="2"/>
  <c r="Q11" i="2" s="1"/>
  <c r="M14" i="2"/>
  <c r="N14" i="2" s="1"/>
  <c r="O14" i="2" s="1"/>
  <c r="K44" i="2"/>
  <c r="M21" i="2"/>
  <c r="N21" i="2" s="1"/>
  <c r="O21" i="2" s="1"/>
  <c r="P43" i="2"/>
  <c r="Q43" i="2" s="1"/>
  <c r="M5" i="2"/>
  <c r="N5" i="2" s="1"/>
  <c r="O5" i="2" s="1"/>
  <c r="P5" i="2"/>
  <c r="Q5" i="2" s="1"/>
  <c r="M37" i="2"/>
  <c r="N37" i="2" s="1"/>
  <c r="O37" i="2" s="1"/>
  <c r="P37" i="2"/>
  <c r="Q37" i="2" s="1"/>
  <c r="P4" i="2"/>
  <c r="Q4" i="2" s="1"/>
  <c r="M4" i="2"/>
  <c r="N4" i="2" s="1"/>
  <c r="O4" i="2" s="1"/>
  <c r="P39" i="2"/>
  <c r="Q39" i="2" s="1"/>
  <c r="M39" i="2"/>
  <c r="N39" i="2" s="1"/>
  <c r="O39" i="2" s="1"/>
  <c r="M3" i="2"/>
  <c r="P3" i="2"/>
  <c r="Q3" i="2" s="1"/>
  <c r="M38" i="2"/>
  <c r="N38" i="2" s="1"/>
  <c r="O38" i="2" s="1"/>
  <c r="P38" i="2"/>
  <c r="Q38" i="2" s="1"/>
  <c r="R50" i="2"/>
  <c r="S49" i="2"/>
  <c r="T56" i="5" l="1"/>
  <c r="U55" i="5"/>
  <c r="W57" i="6"/>
  <c r="X56" i="6"/>
  <c r="O50" i="3"/>
  <c r="P49" i="3"/>
  <c r="P50" i="3"/>
  <c r="W55" i="3"/>
  <c r="W54" i="7"/>
  <c r="E6" i="2"/>
  <c r="N3" i="2"/>
  <c r="O3" i="2" s="1"/>
  <c r="K45" i="2"/>
  <c r="L44" i="2"/>
  <c r="P44" i="2" s="1"/>
  <c r="Q44" i="2" s="1"/>
  <c r="M43" i="2"/>
  <c r="N43" i="2" s="1"/>
  <c r="O43" i="2" s="1"/>
  <c r="S50" i="2"/>
  <c r="R51" i="2"/>
  <c r="P41" i="2"/>
  <c r="Q41" i="2" s="1"/>
  <c r="M41" i="2"/>
  <c r="N41" i="2" s="1"/>
  <c r="O41" i="2" s="1"/>
  <c r="M42" i="2"/>
  <c r="N42" i="2" s="1"/>
  <c r="O42" i="2" s="1"/>
  <c r="P42" i="2"/>
  <c r="Q42" i="2" s="1"/>
  <c r="M40" i="2"/>
  <c r="N40" i="2" s="1"/>
  <c r="O40" i="2" s="1"/>
  <c r="P40" i="2"/>
  <c r="Q40" i="2" s="1"/>
  <c r="T57" i="5" l="1"/>
  <c r="U56" i="5"/>
  <c r="X57" i="6"/>
  <c r="W58" i="6"/>
  <c r="T50" i="3"/>
  <c r="U50" i="3" s="1"/>
  <c r="Q50" i="3"/>
  <c r="R50" i="3" s="1"/>
  <c r="S50" i="3" s="1"/>
  <c r="T49" i="3"/>
  <c r="U49" i="3" s="1"/>
  <c r="Q49" i="3"/>
  <c r="R49" i="3" s="1"/>
  <c r="S49" i="3" s="1"/>
  <c r="O51" i="3"/>
  <c r="W56" i="3"/>
  <c r="W55" i="7"/>
  <c r="E25" i="2"/>
  <c r="E31" i="2" s="1"/>
  <c r="M44" i="2"/>
  <c r="N44" i="2" s="1"/>
  <c r="O44" i="2" s="1"/>
  <c r="E9" i="2"/>
  <c r="E16" i="2" s="1"/>
  <c r="K46" i="2"/>
  <c r="L45" i="2"/>
  <c r="R52" i="2"/>
  <c r="S51" i="2"/>
  <c r="T58" i="5" l="1"/>
  <c r="U57" i="5"/>
  <c r="W59" i="6"/>
  <c r="X58" i="6"/>
  <c r="O52" i="3"/>
  <c r="P51" i="3"/>
  <c r="P52" i="3"/>
  <c r="W57" i="3"/>
  <c r="W56" i="7"/>
  <c r="M45" i="2"/>
  <c r="N45" i="2" s="1"/>
  <c r="O45" i="2" s="1"/>
  <c r="P45" i="2"/>
  <c r="Q45" i="2" s="1"/>
  <c r="E32" i="2"/>
  <c r="E15" i="2"/>
  <c r="K47" i="2"/>
  <c r="L46" i="2"/>
  <c r="R53" i="2"/>
  <c r="S52" i="2"/>
  <c r="T59" i="5" l="1"/>
  <c r="U58" i="5"/>
  <c r="W60" i="6"/>
  <c r="X59" i="6"/>
  <c r="T51" i="3"/>
  <c r="U51" i="3" s="1"/>
  <c r="Q51" i="3"/>
  <c r="R51" i="3" s="1"/>
  <c r="S51" i="3" s="1"/>
  <c r="T52" i="3"/>
  <c r="U52" i="3" s="1"/>
  <c r="Q52" i="3"/>
  <c r="R52" i="3" s="1"/>
  <c r="S52" i="3" s="1"/>
  <c r="O53" i="3"/>
  <c r="W58" i="3"/>
  <c r="W57" i="7"/>
  <c r="E40" i="2"/>
  <c r="M46" i="2"/>
  <c r="P46" i="2"/>
  <c r="Q46" i="2" s="1"/>
  <c r="K48" i="2"/>
  <c r="L47" i="2"/>
  <c r="R54" i="2"/>
  <c r="S53" i="2"/>
  <c r="T60" i="5" l="1"/>
  <c r="U59" i="5"/>
  <c r="W61" i="6"/>
  <c r="X60" i="6"/>
  <c r="O54" i="3"/>
  <c r="P53" i="3"/>
  <c r="P54" i="3"/>
  <c r="W59" i="3"/>
  <c r="W58" i="7"/>
  <c r="M47" i="2"/>
  <c r="N47" i="2" s="1"/>
  <c r="O47" i="2" s="1"/>
  <c r="P47" i="2"/>
  <c r="Q47" i="2" s="1"/>
  <c r="N46" i="2"/>
  <c r="O46" i="2" s="1"/>
  <c r="K49" i="2"/>
  <c r="L48" i="2"/>
  <c r="R55" i="2"/>
  <c r="S54" i="2"/>
  <c r="T61" i="5" l="1"/>
  <c r="U60" i="5"/>
  <c r="W62" i="6"/>
  <c r="X61" i="6"/>
  <c r="Q53" i="3"/>
  <c r="R53" i="3" s="1"/>
  <c r="S53" i="3" s="1"/>
  <c r="T53" i="3"/>
  <c r="U53" i="3" s="1"/>
  <c r="T54" i="3"/>
  <c r="U54" i="3" s="1"/>
  <c r="Q54" i="3"/>
  <c r="R54" i="3" s="1"/>
  <c r="S54" i="3" s="1"/>
  <c r="O55" i="3"/>
  <c r="W60" i="3"/>
  <c r="W59" i="7"/>
  <c r="E43" i="2"/>
  <c r="P48" i="2"/>
  <c r="Q48" i="2" s="1"/>
  <c r="K50" i="2"/>
  <c r="L49" i="2"/>
  <c r="P49" i="2" s="1"/>
  <c r="Q49" i="2" s="1"/>
  <c r="M48" i="2"/>
  <c r="N48" i="2" s="1"/>
  <c r="O48" i="2" s="1"/>
  <c r="S55" i="2"/>
  <c r="R56" i="2"/>
  <c r="T62" i="5" l="1"/>
  <c r="U61" i="5"/>
  <c r="W63" i="6"/>
  <c r="X62" i="6"/>
  <c r="O56" i="3"/>
  <c r="O57" i="3" s="1"/>
  <c r="O58" i="3" s="1"/>
  <c r="O59" i="3" s="1"/>
  <c r="O60" i="3" s="1"/>
  <c r="O61" i="3" s="1"/>
  <c r="O62" i="3" s="1"/>
  <c r="O63" i="3" s="1"/>
  <c r="P60" i="3"/>
  <c r="P62" i="3"/>
  <c r="P59" i="3"/>
  <c r="P55" i="3"/>
  <c r="P61" i="3"/>
  <c r="P56" i="3"/>
  <c r="P57" i="3"/>
  <c r="P58" i="3"/>
  <c r="W61" i="3"/>
  <c r="W60" i="7"/>
  <c r="E50" i="2"/>
  <c r="M49" i="2"/>
  <c r="N49" i="2" s="1"/>
  <c r="O49" i="2" s="1"/>
  <c r="E49" i="2"/>
  <c r="K51" i="2"/>
  <c r="L50" i="2"/>
  <c r="R57" i="2"/>
  <c r="S56" i="2"/>
  <c r="T63" i="5" l="1"/>
  <c r="U62" i="5"/>
  <c r="X63" i="6"/>
  <c r="W64" i="6"/>
  <c r="Q56" i="3"/>
  <c r="R56" i="3" s="1"/>
  <c r="S56" i="3" s="1"/>
  <c r="T56" i="3"/>
  <c r="U56" i="3" s="1"/>
  <c r="Q61" i="3"/>
  <c r="R61" i="3" s="1"/>
  <c r="S61" i="3" s="1"/>
  <c r="T61" i="3"/>
  <c r="U61" i="3" s="1"/>
  <c r="T55" i="3"/>
  <c r="U55" i="3" s="1"/>
  <c r="Q55" i="3"/>
  <c r="R55" i="3" s="1"/>
  <c r="S55" i="3" s="1"/>
  <c r="Q59" i="3"/>
  <c r="R59" i="3" s="1"/>
  <c r="S59" i="3" s="1"/>
  <c r="T59" i="3"/>
  <c r="U59" i="3" s="1"/>
  <c r="Q62" i="3"/>
  <c r="R62" i="3" s="1"/>
  <c r="S62" i="3" s="1"/>
  <c r="T62" i="3"/>
  <c r="U62" i="3" s="1"/>
  <c r="Q57" i="3"/>
  <c r="R57" i="3" s="1"/>
  <c r="S57" i="3" s="1"/>
  <c r="T57" i="3"/>
  <c r="U57" i="3" s="1"/>
  <c r="Q60" i="3"/>
  <c r="R60" i="3" s="1"/>
  <c r="S60" i="3" s="1"/>
  <c r="T60" i="3"/>
  <c r="U60" i="3" s="1"/>
  <c r="Q58" i="3"/>
  <c r="R58" i="3" s="1"/>
  <c r="S58" i="3" s="1"/>
  <c r="T58" i="3"/>
  <c r="U58" i="3" s="1"/>
  <c r="O64" i="3"/>
  <c r="P63" i="3"/>
  <c r="W62" i="3"/>
  <c r="W61" i="7"/>
  <c r="P50" i="2"/>
  <c r="Q50" i="2" s="1"/>
  <c r="M50" i="2"/>
  <c r="N50" i="2" s="1"/>
  <c r="O50" i="2" s="1"/>
  <c r="K52" i="2"/>
  <c r="L51" i="2"/>
  <c r="S57" i="2"/>
  <c r="R58" i="2"/>
  <c r="U63" i="5" l="1"/>
  <c r="T64" i="5"/>
  <c r="X64" i="6"/>
  <c r="W65" i="6"/>
  <c r="Q63" i="3"/>
  <c r="R63" i="3" s="1"/>
  <c r="S63" i="3" s="1"/>
  <c r="T63" i="3"/>
  <c r="U63" i="3" s="1"/>
  <c r="O65" i="3"/>
  <c r="P64" i="3"/>
  <c r="W63" i="3"/>
  <c r="W64" i="7"/>
  <c r="W62" i="7"/>
  <c r="M51" i="2"/>
  <c r="N51" i="2" s="1"/>
  <c r="O51" i="2" s="1"/>
  <c r="P51" i="2"/>
  <c r="Q51" i="2" s="1"/>
  <c r="K53" i="2"/>
  <c r="L52" i="2"/>
  <c r="R59" i="2"/>
  <c r="S58" i="2"/>
  <c r="T65" i="5" l="1"/>
  <c r="U64" i="5"/>
  <c r="W66" i="6"/>
  <c r="X66" i="6" s="1"/>
  <c r="X65" i="6"/>
  <c r="T64" i="3"/>
  <c r="U64" i="3" s="1"/>
  <c r="Q64" i="3"/>
  <c r="R64" i="3" s="1"/>
  <c r="S64" i="3" s="1"/>
  <c r="O66" i="3"/>
  <c r="P66" i="3" s="1"/>
  <c r="P65" i="3"/>
  <c r="W64" i="3"/>
  <c r="W63" i="7"/>
  <c r="M52" i="2"/>
  <c r="N52" i="2" s="1"/>
  <c r="O52" i="2" s="1"/>
  <c r="P52" i="2"/>
  <c r="Q52" i="2" s="1"/>
  <c r="K54" i="2"/>
  <c r="L53" i="2"/>
  <c r="P53" i="2" s="1"/>
  <c r="Q53" i="2" s="1"/>
  <c r="S59" i="2"/>
  <c r="R60" i="2"/>
  <c r="T66" i="5" l="1"/>
  <c r="U66" i="5" s="1"/>
  <c r="U65" i="5"/>
  <c r="J63" i="6"/>
  <c r="J66" i="6" s="1"/>
  <c r="Q65" i="3"/>
  <c r="R65" i="3" s="1"/>
  <c r="S65" i="3" s="1"/>
  <c r="T65" i="3"/>
  <c r="U65" i="3" s="1"/>
  <c r="Q66" i="3"/>
  <c r="R66" i="3" s="1"/>
  <c r="S66" i="3" s="1"/>
  <c r="I57" i="3" s="1"/>
  <c r="I59" i="3" s="1"/>
  <c r="T66" i="3"/>
  <c r="U66" i="3" s="1"/>
  <c r="I58" i="3" s="1"/>
  <c r="I55" i="3"/>
  <c r="I56" i="3" s="1"/>
  <c r="W65" i="3"/>
  <c r="W66" i="3"/>
  <c r="M53" i="2"/>
  <c r="N53" i="2" s="1"/>
  <c r="O53" i="2" s="1"/>
  <c r="K55" i="2"/>
  <c r="L54" i="2"/>
  <c r="P54" i="2" s="1"/>
  <c r="Q54" i="2" s="1"/>
  <c r="R61" i="2"/>
  <c r="S60" i="2"/>
  <c r="G63" i="5" l="1"/>
  <c r="J65" i="6"/>
  <c r="I65" i="3"/>
  <c r="I66" i="3"/>
  <c r="W66" i="7"/>
  <c r="W65" i="7"/>
  <c r="M54" i="2"/>
  <c r="N54" i="2" s="1"/>
  <c r="O54" i="2" s="1"/>
  <c r="K56" i="2"/>
  <c r="L55" i="2"/>
  <c r="R62" i="2"/>
  <c r="S61" i="2"/>
  <c r="G65" i="5" l="1"/>
  <c r="G66" i="5"/>
  <c r="P55" i="2"/>
  <c r="Q55" i="2" s="1"/>
  <c r="M55" i="2"/>
  <c r="N55" i="2" s="1"/>
  <c r="O55" i="2" s="1"/>
  <c r="K57" i="2"/>
  <c r="L56" i="2"/>
  <c r="R63" i="2"/>
  <c r="S62" i="2"/>
  <c r="I66" i="7" l="1"/>
  <c r="I65" i="7"/>
  <c r="M56" i="2"/>
  <c r="N56" i="2" s="1"/>
  <c r="O56" i="2" s="1"/>
  <c r="P56" i="2"/>
  <c r="Q56" i="2" s="1"/>
  <c r="K58" i="2"/>
  <c r="L57" i="2"/>
  <c r="R64" i="2"/>
  <c r="S63" i="2"/>
  <c r="M57" i="2" l="1"/>
  <c r="N57" i="2" s="1"/>
  <c r="O57" i="2" s="1"/>
  <c r="P57" i="2"/>
  <c r="Q57" i="2" s="1"/>
  <c r="K59" i="2"/>
  <c r="L58" i="2"/>
  <c r="S64" i="2"/>
  <c r="R65" i="2"/>
  <c r="M58" i="2" l="1"/>
  <c r="N58" i="2" s="1"/>
  <c r="O58" i="2" s="1"/>
  <c r="P58" i="2"/>
  <c r="Q58" i="2" s="1"/>
  <c r="K60" i="2"/>
  <c r="L59" i="2"/>
  <c r="R66" i="2"/>
  <c r="S66" i="2" s="1"/>
  <c r="S65" i="2"/>
  <c r="E63" i="2" l="1"/>
  <c r="P59" i="2"/>
  <c r="Q59" i="2" s="1"/>
  <c r="M59" i="2"/>
  <c r="N59" i="2" s="1"/>
  <c r="O59" i="2" s="1"/>
  <c r="K61" i="2"/>
  <c r="L60" i="2"/>
  <c r="P60" i="2" l="1"/>
  <c r="Q60" i="2" s="1"/>
  <c r="M60" i="2"/>
  <c r="N60" i="2" s="1"/>
  <c r="O60" i="2" s="1"/>
  <c r="K62" i="2"/>
  <c r="L61" i="2"/>
  <c r="M61" i="2" l="1"/>
  <c r="N61" i="2" s="1"/>
  <c r="O61" i="2" s="1"/>
  <c r="P61" i="2"/>
  <c r="Q61" i="2" s="1"/>
  <c r="K63" i="2"/>
  <c r="L62" i="2"/>
  <c r="M62" i="2" l="1"/>
  <c r="N62" i="2" s="1"/>
  <c r="O62" i="2" s="1"/>
  <c r="P62" i="2"/>
  <c r="Q62" i="2" s="1"/>
  <c r="K64" i="2"/>
  <c r="L63" i="2"/>
  <c r="M63" i="2" l="1"/>
  <c r="N63" i="2" s="1"/>
  <c r="O63" i="2" s="1"/>
  <c r="P63" i="2"/>
  <c r="Q63" i="2" s="1"/>
  <c r="K65" i="2"/>
  <c r="K66" i="2" s="1"/>
  <c r="L66" i="2" l="1"/>
  <c r="M66" i="2" s="1"/>
  <c r="N66" i="2" s="1"/>
  <c r="O66" i="2" s="1"/>
  <c r="L65" i="2"/>
  <c r="M65" i="2" l="1"/>
  <c r="N65" i="2" s="1"/>
  <c r="O65" i="2" s="1"/>
  <c r="P65" i="2"/>
  <c r="Q65" i="2" s="1"/>
  <c r="P66" i="2"/>
  <c r="Q66" i="2" l="1"/>
  <c r="L64" i="2"/>
  <c r="M64" i="2" s="1"/>
  <c r="N64" i="2" s="1"/>
  <c r="O64" i="2" s="1"/>
  <c r="P64" i="2" l="1"/>
  <c r="Q64" i="2" s="1"/>
  <c r="E59" i="2"/>
  <c r="E56" i="2"/>
  <c r="E65" i="2" l="1"/>
  <c r="E66" i="2"/>
  <c r="B19" i="5"/>
  <c r="B6" i="5"/>
  <c r="J13" i="5" s="1"/>
  <c r="N13" i="5" s="1"/>
  <c r="O13" i="5" l="1"/>
  <c r="P13" i="5" s="1"/>
  <c r="Q13" i="5" s="1"/>
  <c r="R13" i="5"/>
  <c r="S13" i="5" s="1"/>
  <c r="J29" i="5"/>
  <c r="N29" i="5" s="1"/>
  <c r="J10" i="5"/>
  <c r="N10" i="5" s="1"/>
  <c r="J23" i="5"/>
  <c r="N23" i="5" s="1"/>
  <c r="J16" i="5"/>
  <c r="N16" i="5" s="1"/>
  <c r="J24" i="5"/>
  <c r="N24" i="5" s="1"/>
  <c r="J21" i="5"/>
  <c r="N21" i="5" s="1"/>
  <c r="J31" i="5"/>
  <c r="N31" i="5" s="1"/>
  <c r="J20" i="5"/>
  <c r="N20" i="5" s="1"/>
  <c r="J15" i="5"/>
  <c r="N15" i="5" s="1"/>
  <c r="J26" i="5"/>
  <c r="N26" i="5" s="1"/>
  <c r="J17" i="5"/>
  <c r="N17" i="5" s="1"/>
  <c r="J5" i="5"/>
  <c r="N5" i="5" s="1"/>
  <c r="J11" i="5"/>
  <c r="N11" i="5" s="1"/>
  <c r="J27" i="5"/>
  <c r="N27" i="5" s="1"/>
  <c r="J25" i="5"/>
  <c r="N25" i="5" s="1"/>
  <c r="J22" i="5"/>
  <c r="N22" i="5" s="1"/>
  <c r="J14" i="5"/>
  <c r="N14" i="5" s="1"/>
  <c r="J7" i="5"/>
  <c r="N7" i="5" s="1"/>
  <c r="J8" i="5"/>
  <c r="N8" i="5" s="1"/>
  <c r="J3" i="5"/>
  <c r="N3" i="5" s="1"/>
  <c r="J19" i="5"/>
  <c r="N19" i="5" s="1"/>
  <c r="J28" i="5"/>
  <c r="N28" i="5" s="1"/>
  <c r="J12" i="5"/>
  <c r="N12" i="5" s="1"/>
  <c r="J9" i="5"/>
  <c r="N9" i="5" s="1"/>
  <c r="J6" i="5"/>
  <c r="N6" i="5" s="1"/>
  <c r="J4" i="5"/>
  <c r="N4" i="5" s="1"/>
  <c r="J30" i="5"/>
  <c r="N30" i="5" s="1"/>
  <c r="J18" i="5"/>
  <c r="N18" i="5" s="1"/>
  <c r="J32" i="5"/>
  <c r="N32" i="5" s="1"/>
  <c r="R24" i="5" l="1"/>
  <c r="S24" i="5" s="1"/>
  <c r="O24" i="5"/>
  <c r="P24" i="5" s="1"/>
  <c r="Q24" i="5" s="1"/>
  <c r="R21" i="5"/>
  <c r="S21" i="5" s="1"/>
  <c r="O21" i="5"/>
  <c r="P21" i="5" s="1"/>
  <c r="Q21" i="5" s="1"/>
  <c r="O5" i="5"/>
  <c r="P5" i="5" s="1"/>
  <c r="Q5" i="5" s="1"/>
  <c r="R5" i="5"/>
  <c r="S5" i="5" s="1"/>
  <c r="O16" i="5"/>
  <c r="P16" i="5" s="1"/>
  <c r="Q16" i="5" s="1"/>
  <c r="R16" i="5"/>
  <c r="S16" i="5" s="1"/>
  <c r="O19" i="5"/>
  <c r="P19" i="5" s="1"/>
  <c r="Q19" i="5" s="1"/>
  <c r="R19" i="5"/>
  <c r="S19" i="5" s="1"/>
  <c r="O23" i="5"/>
  <c r="P23" i="5" s="1"/>
  <c r="Q23" i="5" s="1"/>
  <c r="R23" i="5"/>
  <c r="S23" i="5" s="1"/>
  <c r="R27" i="5"/>
  <c r="S27" i="5" s="1"/>
  <c r="O27" i="5"/>
  <c r="P27" i="5" s="1"/>
  <c r="Q27" i="5" s="1"/>
  <c r="R10" i="5"/>
  <c r="S10" i="5" s="1"/>
  <c r="O10" i="5"/>
  <c r="P10" i="5" s="1"/>
  <c r="Q10" i="5" s="1"/>
  <c r="O18" i="5"/>
  <c r="P18" i="5" s="1"/>
  <c r="Q18" i="5" s="1"/>
  <c r="R18" i="5"/>
  <c r="S18" i="5" s="1"/>
  <c r="R8" i="5"/>
  <c r="S8" i="5" s="1"/>
  <c r="O8" i="5"/>
  <c r="P8" i="5" s="1"/>
  <c r="Q8" i="5" s="1"/>
  <c r="R29" i="5"/>
  <c r="S29" i="5" s="1"/>
  <c r="O29" i="5"/>
  <c r="P29" i="5" s="1"/>
  <c r="Q29" i="5" s="1"/>
  <c r="R32" i="5"/>
  <c r="S32" i="5" s="1"/>
  <c r="O32" i="5"/>
  <c r="P32" i="5" s="1"/>
  <c r="Q32" i="5" s="1"/>
  <c r="O3" i="5"/>
  <c r="P3" i="5" s="1"/>
  <c r="Q3" i="5" s="1"/>
  <c r="R3" i="5"/>
  <c r="S3" i="5" s="1"/>
  <c r="G5" i="5"/>
  <c r="G6" i="5" s="1"/>
  <c r="G21" i="5"/>
  <c r="G22" i="5" s="1"/>
  <c r="R17" i="5"/>
  <c r="S17" i="5" s="1"/>
  <c r="O17" i="5"/>
  <c r="P17" i="5" s="1"/>
  <c r="Q17" i="5" s="1"/>
  <c r="O7" i="5"/>
  <c r="P7" i="5" s="1"/>
  <c r="Q7" i="5" s="1"/>
  <c r="R7" i="5"/>
  <c r="S7" i="5" s="1"/>
  <c r="R6" i="5"/>
  <c r="S6" i="5" s="1"/>
  <c r="O6" i="5"/>
  <c r="P6" i="5" s="1"/>
  <c r="Q6" i="5" s="1"/>
  <c r="R28" i="5"/>
  <c r="S28" i="5" s="1"/>
  <c r="O28" i="5"/>
  <c r="P28" i="5" s="1"/>
  <c r="Q28" i="5" s="1"/>
  <c r="R11" i="5"/>
  <c r="S11" i="5" s="1"/>
  <c r="O11" i="5"/>
  <c r="P11" i="5" s="1"/>
  <c r="Q11" i="5" s="1"/>
  <c r="R30" i="5"/>
  <c r="S30" i="5" s="1"/>
  <c r="O30" i="5"/>
  <c r="P30" i="5" s="1"/>
  <c r="Q30" i="5" s="1"/>
  <c r="R4" i="5"/>
  <c r="S4" i="5" s="1"/>
  <c r="O4" i="5"/>
  <c r="P4" i="5" s="1"/>
  <c r="Q4" i="5" s="1"/>
  <c r="R26" i="5"/>
  <c r="S26" i="5" s="1"/>
  <c r="O26" i="5"/>
  <c r="P26" i="5" s="1"/>
  <c r="Q26" i="5" s="1"/>
  <c r="O14" i="5"/>
  <c r="P14" i="5" s="1"/>
  <c r="Q14" i="5" s="1"/>
  <c r="R14" i="5"/>
  <c r="S14" i="5" s="1"/>
  <c r="O15" i="5"/>
  <c r="P15" i="5" s="1"/>
  <c r="Q15" i="5" s="1"/>
  <c r="R15" i="5"/>
  <c r="S15" i="5" s="1"/>
  <c r="R9" i="5"/>
  <c r="S9" i="5" s="1"/>
  <c r="O9" i="5"/>
  <c r="P9" i="5" s="1"/>
  <c r="Q9" i="5" s="1"/>
  <c r="R22" i="5"/>
  <c r="S22" i="5" s="1"/>
  <c r="O22" i="5"/>
  <c r="P22" i="5" s="1"/>
  <c r="Q22" i="5" s="1"/>
  <c r="R20" i="5"/>
  <c r="S20" i="5" s="1"/>
  <c r="O20" i="5"/>
  <c r="P20" i="5" s="1"/>
  <c r="Q20" i="5" s="1"/>
  <c r="R12" i="5"/>
  <c r="S12" i="5" s="1"/>
  <c r="O12" i="5"/>
  <c r="P12" i="5" s="1"/>
  <c r="Q12" i="5" s="1"/>
  <c r="R25" i="5"/>
  <c r="S25" i="5" s="1"/>
  <c r="O25" i="5"/>
  <c r="P25" i="5" s="1"/>
  <c r="Q25" i="5" s="1"/>
  <c r="O31" i="5"/>
  <c r="P31" i="5" s="1"/>
  <c r="Q31" i="5" s="1"/>
  <c r="R31" i="5"/>
  <c r="S31" i="5" s="1"/>
  <c r="G8" i="5" l="1"/>
  <c r="G24" i="5"/>
  <c r="G23" i="5"/>
  <c r="G25" i="5" s="1"/>
  <c r="G7" i="5"/>
  <c r="G9" i="5" s="1"/>
  <c r="G32" i="5" l="1"/>
  <c r="K18" i="9" s="1"/>
  <c r="G31" i="5"/>
  <c r="G15" i="5"/>
  <c r="G16" i="5"/>
  <c r="J18" i="9" s="1"/>
</calcChain>
</file>

<file path=xl/sharedStrings.xml><?xml version="1.0" encoding="utf-8"?>
<sst xmlns="http://schemas.openxmlformats.org/spreadsheetml/2006/main" count="763" uniqueCount="230">
  <si>
    <t>Assumptions</t>
  </si>
  <si>
    <t>Value</t>
  </si>
  <si>
    <t>Incentive per new antibiotic</t>
  </si>
  <si>
    <t>US contribution</t>
  </si>
  <si>
    <t>Growth in deaths</t>
  </si>
  <si>
    <t>Growth in DALYS</t>
  </si>
  <si>
    <t>Proportion of deaths and DALYs attributable to 6 priority pathogens</t>
  </si>
  <si>
    <t>Reserve period in years</t>
  </si>
  <si>
    <t>Loss in efficiency factor per year</t>
  </si>
  <si>
    <t>Cost of each death</t>
  </si>
  <si>
    <t>Discount rate (health)</t>
  </si>
  <si>
    <t>Discount rate (costs)</t>
  </si>
  <si>
    <t>Benefits</t>
  </si>
  <si>
    <t>Item</t>
  </si>
  <si>
    <t>US DALY value</t>
  </si>
  <si>
    <t>Global DALY value</t>
  </si>
  <si>
    <t>Year</t>
  </si>
  <si>
    <t>Without program</t>
  </si>
  <si>
    <t>With program</t>
  </si>
  <si>
    <t>Lives saved</t>
  </si>
  <si>
    <t>Efficiency of antibiotic</t>
  </si>
  <si>
    <t>Deaths per year in US from 6 priority pathogens</t>
  </si>
  <si>
    <t>Total lives saved with program</t>
  </si>
  <si>
    <t>Total DALYs saved with program</t>
  </si>
  <si>
    <t>Value of US death in DALYs</t>
  </si>
  <si>
    <t>Value of global death in DALYs</t>
  </si>
  <si>
    <t>Number of DALYs saved</t>
  </si>
  <si>
    <t>Absolute value of DALYS saved</t>
  </si>
  <si>
    <t>Discounted value of DALYs saved</t>
  </si>
  <si>
    <t>Costs</t>
  </si>
  <si>
    <t>Absolute cost</t>
  </si>
  <si>
    <t>Discounted cost</t>
  </si>
  <si>
    <t>Benefit - cost</t>
  </si>
  <si>
    <t>Benefit / cost</t>
  </si>
  <si>
    <t>Globally</t>
  </si>
  <si>
    <t>US ONLY</t>
  </si>
  <si>
    <t>Deaths per year globally from 6 pathogens</t>
  </si>
  <si>
    <t>Total discounted value of DALYs saved</t>
  </si>
  <si>
    <t>Savings in healthcare costs</t>
  </si>
  <si>
    <t>Total benefit</t>
  </si>
  <si>
    <t>Discounted savings in healthcare costs</t>
  </si>
  <si>
    <t>Total discounted savings in healthcare</t>
  </si>
  <si>
    <t>Expected number of new antibiotics per year</t>
  </si>
  <si>
    <t>Horizon (years)</t>
  </si>
  <si>
    <t>Efficiency of single antibiotic</t>
  </si>
  <si>
    <t>Total discounted costs to US government</t>
  </si>
  <si>
    <t>Reduction in AMR deaths at peak efficiency from single antibiotic</t>
  </si>
  <si>
    <t xml:space="preserve">Total discounted costs </t>
  </si>
  <si>
    <t>Deaths in rich countries Year 0</t>
  </si>
  <si>
    <t>Deaths outside of rich countries attributable to six priority pathogens Year 0</t>
  </si>
  <si>
    <t>Attributable deaths in rich countries to six priority pathogens Year 0</t>
  </si>
  <si>
    <t>Proportion of non-rich country deaths attributable to lack of medicine access</t>
  </si>
  <si>
    <t>Counterfactual Deaths--Attributable to Priority Pathogens</t>
  </si>
  <si>
    <t>Counterfactual Deaths -- Attributable to Priority Pathogens and Not Attributable to Lack of Access</t>
  </si>
  <si>
    <t>Japan contribution</t>
  </si>
  <si>
    <t>Deaths per year in Japan from 6 priority pathogens</t>
  </si>
  <si>
    <t>Japan DALY value</t>
  </si>
  <si>
    <t>Escherichia coli</t>
  </si>
  <si>
    <t>Staphylococcus aureus</t>
  </si>
  <si>
    <t>Klebsiella pneumoniae</t>
  </si>
  <si>
    <t>Streptococcus pneumoniae</t>
  </si>
  <si>
    <t>Acinetobacter baumannii</t>
  </si>
  <si>
    <t>Pseudomonas aeruginosa.</t>
  </si>
  <si>
    <t>Health system costs</t>
  </si>
  <si>
    <t>Japan ONLY</t>
  </si>
  <si>
    <t>Value of Japan death in DALYs</t>
  </si>
  <si>
    <t>Total discounted costs to Japanese government</t>
  </si>
  <si>
    <t>DALYs</t>
  </si>
  <si>
    <t>Deaths</t>
  </si>
  <si>
    <t>Cost per death</t>
  </si>
  <si>
    <t>Yen to Dollar Exchange Rate</t>
  </si>
  <si>
    <t xml:space="preserve">Total hospital costs (Yen) </t>
  </si>
  <si>
    <t>C/E Threshold</t>
  </si>
  <si>
    <t>Yen</t>
  </si>
  <si>
    <t>Dollar</t>
  </si>
  <si>
    <t>Total Japan AMR Deaths</t>
  </si>
  <si>
    <t>(YTD Average as of November 30)</t>
  </si>
  <si>
    <t>Proportion of global deaths and DALYs attributable to 6 priority pathogens</t>
  </si>
  <si>
    <t>Total deaths (estimated in same study)</t>
  </si>
  <si>
    <t>GDP (trillion)</t>
  </si>
  <si>
    <t>Percent</t>
  </si>
  <si>
    <t xml:space="preserve"> Contribution Per New Drug </t>
  </si>
  <si>
    <t>USA</t>
  </si>
  <si>
    <t>Japan</t>
  </si>
  <si>
    <t>United Kingdom</t>
  </si>
  <si>
    <t>Canada</t>
  </si>
  <si>
    <t>European Union</t>
  </si>
  <si>
    <t>Data Source: World Bank Databank, using OECD</t>
  </si>
  <si>
    <t xml:space="preserve">Total </t>
  </si>
  <si>
    <t>Total</t>
  </si>
  <si>
    <t>Six Priority Pathogens</t>
  </si>
  <si>
    <t>Cost per death (USD)</t>
  </si>
  <si>
    <t>DALY value per death</t>
  </si>
  <si>
    <t xml:space="preserve">Total DALY costs of six priority pathogens </t>
  </si>
  <si>
    <t>Canada  contribution</t>
  </si>
  <si>
    <t>Deaths per year in Canada from 6 priority pathogens</t>
  </si>
  <si>
    <t>CAD</t>
  </si>
  <si>
    <t>USD</t>
  </si>
  <si>
    <t>CAD to USD Exchange Rate</t>
  </si>
  <si>
    <t>Total Canada AMR Deaths</t>
  </si>
  <si>
    <t>Total health system costs (CAD)</t>
  </si>
  <si>
    <t>Canada DALY value</t>
  </si>
  <si>
    <t>Canada ONLY</t>
  </si>
  <si>
    <t>Value of Canadian death in DALYs</t>
  </si>
  <si>
    <t>Total discounted costs to Canadian government</t>
  </si>
  <si>
    <t>Six Priority Pathogens (GRAM Study)</t>
  </si>
  <si>
    <t>Total Annual Deaths, All Pathogens (GRAM Study)</t>
  </si>
  <si>
    <t>Proportion of deaths attributable to 6 priority pathogens</t>
  </si>
  <si>
    <t>Total health system costs (USD)</t>
  </si>
  <si>
    <t>Deaths per year in European Union from 6 priority pathogens</t>
  </si>
  <si>
    <t>European Union DALY value</t>
  </si>
  <si>
    <t>Euro to USD Exchange Rate</t>
  </si>
  <si>
    <t>Total European Union AMR Deaths</t>
  </si>
  <si>
    <t>Total health system costs (EUR)</t>
  </si>
  <si>
    <t>Cost per death (EUR)</t>
  </si>
  <si>
    <t>European Union ONLY</t>
  </si>
  <si>
    <t>EU  contribution</t>
  </si>
  <si>
    <t>Western Europe</t>
  </si>
  <si>
    <t>Central Europe</t>
  </si>
  <si>
    <t>W+CE</t>
  </si>
  <si>
    <t>000s DALYs resistant</t>
  </si>
  <si>
    <t>Bloodstream</t>
  </si>
  <si>
    <t>LRI</t>
  </si>
  <si>
    <t>P&amp;A</t>
  </si>
  <si>
    <t>UTI</t>
  </si>
  <si>
    <t>skin</t>
  </si>
  <si>
    <t>E&amp;C</t>
  </si>
  <si>
    <t>DALYs per death</t>
  </si>
  <si>
    <t>DALYs/Death Calculation</t>
  </si>
  <si>
    <t>EU 27</t>
  </si>
  <si>
    <t>2019 Deaths</t>
  </si>
  <si>
    <t xml:space="preserve">Nominal GDP </t>
  </si>
  <si>
    <t>Nominal GDP $US</t>
  </si>
  <si>
    <t>Deaths 6 pathogens</t>
  </si>
  <si>
    <t xml:space="preserve">Country </t>
  </si>
  <si>
    <t>AMR attributable</t>
  </si>
  <si>
    <t>6 pathogens</t>
  </si>
  <si>
    <t>per capita $ 2019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</si>
  <si>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</si>
  <si>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</si>
  <si>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</si>
  <si>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</si>
  <si>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</si>
  <si>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</si>
  <si>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</si>
  <si>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</si>
  <si>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</si>
  <si>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</si>
  <si>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</si>
  <si>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</si>
  <si>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</si>
  <si>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Sweden</t>
  </si>
  <si>
    <t>Ireland</t>
  </si>
  <si>
    <t>Italy</t>
  </si>
  <si>
    <t>Latvia</t>
  </si>
  <si>
    <t>Lithuania</t>
  </si>
  <si>
    <t>Luxembourg</t>
  </si>
  <si>
    <t>Malta</t>
  </si>
  <si>
    <t>Monaco</t>
  </si>
  <si>
    <t>Netherlands</t>
  </si>
  <si>
    <t>Poland</t>
  </si>
  <si>
    <t>Portugal</t>
  </si>
  <si>
    <t>Romania</t>
  </si>
  <si>
    <t>Slovakia</t>
  </si>
  <si>
    <t>Slovenia</t>
  </si>
  <si>
    <t xml:space="preserve">San Marino </t>
  </si>
  <si>
    <t>Spain</t>
  </si>
  <si>
    <t>High-income threshold (Sweden)</t>
  </si>
  <si>
    <t>Lower-income threshold (Poland)</t>
  </si>
  <si>
    <t>Deaths from 6 Leading Pathogens</t>
  </si>
  <si>
    <t>Total discounted costs to EU</t>
  </si>
  <si>
    <t xml:space="preserve">Weighted Average by AMR Top-6 Pathogen Deaths </t>
  </si>
  <si>
    <t>Value of European death in DALYs</t>
  </si>
  <si>
    <t>GRAM-Study Data</t>
  </si>
  <si>
    <t>Threshold Calculation (Using GRAM Data)</t>
  </si>
  <si>
    <t>Poland-Sweden Average Income Per Capita</t>
  </si>
  <si>
    <t>Above Poland-Sweden Average GDP/Capita</t>
  </si>
  <si>
    <t>Below Poland-Sweden Average GDP/Capita</t>
  </si>
  <si>
    <t>`</t>
  </si>
  <si>
    <t>Health system costs per death (USD)</t>
  </si>
  <si>
    <t>Health system cost of each death</t>
  </si>
  <si>
    <t>Health system costs of each death</t>
  </si>
  <si>
    <t>UK contribution</t>
  </si>
  <si>
    <t>Deaths per year in UK from 6 priority pathogens</t>
  </si>
  <si>
    <t>UK  DALY value</t>
  </si>
  <si>
    <t>Value of UK death in DALYs</t>
  </si>
  <si>
    <t>Exchange Rate GBP to USD</t>
  </si>
  <si>
    <t>YTD Avg as of end-November</t>
  </si>
  <si>
    <t>NICE C/E Threshold (GBP)</t>
  </si>
  <si>
    <t>NICE C/E Threshold (USD)</t>
  </si>
  <si>
    <t>E coli</t>
  </si>
  <si>
    <t>S.Aureus</t>
  </si>
  <si>
    <t>E.Faecium</t>
  </si>
  <si>
    <t>K.pneumoniae</t>
  </si>
  <si>
    <t>S.pneumoniae</t>
  </si>
  <si>
    <t>P.aeruginosa</t>
  </si>
  <si>
    <t>Attributable Deaths</t>
  </si>
  <si>
    <t>6 leading</t>
  </si>
  <si>
    <t>%</t>
  </si>
  <si>
    <t>DALYs per death for 6 leading</t>
  </si>
  <si>
    <t>Estimates of health care costs</t>
  </si>
  <si>
    <t>Total £m</t>
  </si>
  <si>
    <t xml:space="preserve">Deaths </t>
  </si>
  <si>
    <t>Cost per death USD</t>
  </si>
  <si>
    <t>UK ONLY</t>
  </si>
  <si>
    <t>Total discounted costs to UK government</t>
  </si>
  <si>
    <t>Manoukian et al  (GBP)</t>
  </si>
  <si>
    <t>Naylor et al (GBP)</t>
  </si>
  <si>
    <t>Sally Davies testimony to Parliament (GBP)</t>
  </si>
  <si>
    <t>United States</t>
  </si>
  <si>
    <t>Fair Share %</t>
  </si>
  <si>
    <t>Total Contribution Per Drug</t>
  </si>
  <si>
    <t>Total 10-Year Program Costs (Discounted)</t>
  </si>
  <si>
    <t>Peak Annual Payment (Nominal $)</t>
  </si>
  <si>
    <t>Total 30-Year Program Costs (Discounted)</t>
  </si>
  <si>
    <t>DALYs/ Death</t>
  </si>
  <si>
    <t>DALY Value</t>
  </si>
  <si>
    <t>Health System Costs/Death</t>
  </si>
  <si>
    <t>Model Inputs</t>
  </si>
  <si>
    <t>Model Outputs</t>
  </si>
  <si>
    <t>GDP ($ Trillions)</t>
  </si>
  <si>
    <t>Total 10-Year Benefits</t>
  </si>
  <si>
    <t>Total 30-Year Benefits</t>
  </si>
  <si>
    <t>Annual Deaths                   (6 Priority Pathogens)</t>
  </si>
  <si>
    <t>10-Year Lives Saved</t>
  </si>
  <si>
    <t>30-Year Lives Saved</t>
  </si>
  <si>
    <t xml:space="preserve">Total deaths </t>
  </si>
  <si>
    <t>G7 Total</t>
  </si>
  <si>
    <t>10-Year ROI                (Benefits per USD)</t>
  </si>
  <si>
    <t>30-Year ROI           (Benefits per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</si>
</sst>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$-409]* #,##0.00_ ;_-[$$-409]* \-#,##0.00\ ;_-[$$-409]* &quot;-&quot;??_ ;_-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_-* #,##0.00\ _€_-;\-* #,##0.00\ _€_-;_-* &quot;-&quot;??\ _€_-;_-@_-"/>
    <numFmt numFmtId="169" formatCode="0.0"/>
    <numFmt numFmtId="170" formatCode="[$$-409]#,##0_ ;\-[$$-409]#,##0\ "/>
    <numFmt numFmtId="171" formatCode="_-[$$-409]* #,##0_ ;_-[$$-409]* \-#,##0\ ;_-[$$-409]* &quot;-&quot;??_ ;_-@_ "/>
    <numFmt numFmtId="172" formatCode="_-[$$-409]* #,##0_ ;_-[$$-409]* \-#,##0\ ;_-[$$-409]* &quot;-&quot;_ ;_-@_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Dot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7" xfId="0" applyBorder="1" applyAlignment="1"/>
    <xf numFmtId="0" fontId="0" fillId="2" borderId="7" xfId="0" applyFill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3" borderId="0" xfId="0" applyFill="1" applyBorder="1" applyAlignment="1"/>
    <xf numFmtId="0" fontId="0" fillId="3" borderId="4" xfId="0" applyFill="1" applyBorder="1" applyAlignment="1"/>
    <xf numFmtId="164" fontId="0" fillId="0" borderId="0" xfId="0" applyNumberFormat="1" applyBorder="1" applyAlignment="1"/>
    <xf numFmtId="164" fontId="0" fillId="0" borderId="4" xfId="0" applyNumberFormat="1" applyBorder="1" applyAlignment="1"/>
    <xf numFmtId="0" fontId="0" fillId="0" borderId="3" xfId="0" applyBorder="1" applyAlignment="1"/>
    <xf numFmtId="0" fontId="0" fillId="0" borderId="8" xfId="0" applyBorder="1" applyAlignment="1"/>
    <xf numFmtId="164" fontId="0" fillId="0" borderId="8" xfId="0" applyNumberFormat="1" applyBorder="1" applyAlignment="1"/>
    <xf numFmtId="164" fontId="0" fillId="0" borderId="6" xfId="0" applyNumberFormat="1" applyBorder="1" applyAlignment="1"/>
    <xf numFmtId="0" fontId="0" fillId="0" borderId="3" xfId="0" applyBorder="1"/>
    <xf numFmtId="0" fontId="0" fillId="0" borderId="0" xfId="0" applyFill="1" applyBorder="1" applyAlignment="1"/>
    <xf numFmtId="0" fontId="0" fillId="4" borderId="3" xfId="0" applyFill="1" applyBorder="1" applyAlignment="1"/>
    <xf numFmtId="43" fontId="0" fillId="0" borderId="7" xfId="1" applyFont="1" applyBorder="1" applyAlignment="1"/>
    <xf numFmtId="43" fontId="0" fillId="0" borderId="12" xfId="1" applyFont="1" applyBorder="1" applyAlignment="1"/>
    <xf numFmtId="43" fontId="0" fillId="0" borderId="9" xfId="1" applyFont="1" applyBorder="1" applyAlignment="1"/>
    <xf numFmtId="43" fontId="0" fillId="0" borderId="9" xfId="1" applyFont="1" applyBorder="1" applyAlignment="1">
      <alignment vertical="center"/>
    </xf>
    <xf numFmtId="43" fontId="0" fillId="0" borderId="9" xfId="1" applyFont="1" applyBorder="1"/>
    <xf numFmtId="43" fontId="2" fillId="0" borderId="9" xfId="1" applyFont="1" applyBorder="1" applyAlignment="1"/>
    <xf numFmtId="43" fontId="2" fillId="0" borderId="10" xfId="1" applyFont="1" applyBorder="1" applyAlignment="1"/>
    <xf numFmtId="43" fontId="0" fillId="0" borderId="0" xfId="1" applyFont="1" applyBorder="1"/>
    <xf numFmtId="43" fontId="2" fillId="0" borderId="14" xfId="1" applyFont="1" applyBorder="1" applyAlignment="1"/>
    <xf numFmtId="43" fontId="0" fillId="0" borderId="0" xfId="1" applyFont="1"/>
    <xf numFmtId="43" fontId="0" fillId="4" borderId="9" xfId="1" applyFont="1" applyFill="1" applyBorder="1" applyAlignment="1"/>
    <xf numFmtId="0" fontId="0" fillId="0" borderId="0" xfId="0" applyFill="1"/>
    <xf numFmtId="0" fontId="0" fillId="0" borderId="0" xfId="0" applyNumberFormat="1" applyFill="1"/>
    <xf numFmtId="164" fontId="0" fillId="0" borderId="0" xfId="0" applyNumberFormat="1" applyFill="1"/>
    <xf numFmtId="164" fontId="2" fillId="0" borderId="0" xfId="0" applyNumberFormat="1" applyFont="1" applyFill="1"/>
    <xf numFmtId="0" fontId="2" fillId="0" borderId="0" xfId="0" applyFont="1" applyFill="1"/>
    <xf numFmtId="0" fontId="0" fillId="5" borderId="0" xfId="0" applyFill="1"/>
    <xf numFmtId="0" fontId="0" fillId="5" borderId="0" xfId="0" applyNumberFormat="1" applyFill="1"/>
    <xf numFmtId="0" fontId="2" fillId="5" borderId="1" xfId="0" applyFont="1" applyFill="1" applyBorder="1" applyAlignment="1"/>
    <xf numFmtId="0" fontId="0" fillId="5" borderId="7" xfId="0" applyFill="1" applyBorder="1" applyAlignment="1"/>
    <xf numFmtId="0" fontId="0" fillId="5" borderId="0" xfId="0" applyFill="1" applyBorder="1" applyAlignment="1"/>
    <xf numFmtId="0" fontId="0" fillId="2" borderId="0" xfId="0" applyNumberFormat="1" applyFill="1"/>
    <xf numFmtId="0" fontId="0" fillId="5" borderId="3" xfId="0" applyFill="1" applyBorder="1" applyAlignment="1"/>
    <xf numFmtId="43" fontId="0" fillId="5" borderId="9" xfId="1" applyFont="1" applyFill="1" applyBorder="1" applyAlignment="1"/>
    <xf numFmtId="0" fontId="0" fillId="6" borderId="0" xfId="0" applyFill="1" applyBorder="1" applyAlignment="1"/>
    <xf numFmtId="0" fontId="0" fillId="7" borderId="3" xfId="0" applyFont="1" applyFill="1" applyBorder="1" applyAlignment="1"/>
    <xf numFmtId="0" fontId="0" fillId="7" borderId="11" xfId="0" applyFont="1" applyFill="1" applyBorder="1" applyAlignment="1"/>
    <xf numFmtId="0" fontId="0" fillId="7" borderId="13" xfId="0" applyFill="1" applyBorder="1" applyAlignment="1"/>
    <xf numFmtId="0" fontId="0" fillId="7" borderId="5" xfId="0" applyFont="1" applyFill="1" applyBorder="1" applyAlignment="1"/>
    <xf numFmtId="0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3" fontId="0" fillId="0" borderId="0" xfId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0" fillId="5" borderId="0" xfId="0" applyFont="1" applyFill="1"/>
    <xf numFmtId="0" fontId="0" fillId="2" borderId="0" xfId="0" applyNumberFormat="1" applyFont="1" applyFill="1" applyAlignment="1">
      <alignment wrapText="1"/>
    </xf>
    <xf numFmtId="0" fontId="0" fillId="0" borderId="0" xfId="0" applyFont="1"/>
    <xf numFmtId="0" fontId="0" fillId="0" borderId="7" xfId="0" applyFont="1" applyBorder="1" applyAlignment="1"/>
    <xf numFmtId="0" fontId="0" fillId="5" borderId="7" xfId="0" applyFont="1" applyFill="1" applyBorder="1" applyAlignment="1"/>
    <xf numFmtId="0" fontId="0" fillId="2" borderId="7" xfId="0" applyFont="1" applyFill="1" applyBorder="1" applyAlignment="1"/>
    <xf numFmtId="0" fontId="0" fillId="0" borderId="2" xfId="0" applyFont="1" applyBorder="1" applyAlignment="1"/>
    <xf numFmtId="0" fontId="0" fillId="5" borderId="0" xfId="0" applyNumberFormat="1" applyFont="1" applyFill="1" applyAlignment="1">
      <alignment wrapText="1"/>
    </xf>
    <xf numFmtId="0" fontId="0" fillId="7" borderId="13" xfId="0" applyFont="1" applyFill="1" applyBorder="1" applyAlignment="1"/>
    <xf numFmtId="0" fontId="0" fillId="0" borderId="0" xfId="0" applyFont="1" applyBorder="1" applyAlignment="1"/>
    <xf numFmtId="0" fontId="0" fillId="5" borderId="0" xfId="0" applyFont="1" applyFill="1" applyBorder="1" applyAlignment="1"/>
    <xf numFmtId="0" fontId="0" fillId="6" borderId="0" xfId="0" applyFont="1" applyFill="1" applyBorder="1" applyAlignment="1"/>
    <xf numFmtId="0" fontId="0" fillId="3" borderId="0" xfId="0" applyFont="1" applyFill="1" applyBorder="1" applyAlignment="1"/>
    <xf numFmtId="0" fontId="0" fillId="3" borderId="4" xfId="0" applyFont="1" applyFill="1" applyBorder="1" applyAlignment="1"/>
    <xf numFmtId="164" fontId="0" fillId="0" borderId="0" xfId="0" applyNumberFormat="1" applyFont="1" applyAlignment="1">
      <alignment wrapText="1"/>
    </xf>
    <xf numFmtId="0" fontId="0" fillId="5" borderId="3" xfId="0" applyFont="1" applyFill="1" applyBorder="1" applyAlignment="1"/>
    <xf numFmtId="164" fontId="0" fillId="0" borderId="0" xfId="0" applyNumberFormat="1" applyFont="1" applyBorder="1" applyAlignment="1"/>
    <xf numFmtId="164" fontId="0" fillId="0" borderId="4" xfId="0" applyNumberFormat="1" applyFont="1" applyBorder="1" applyAlignment="1"/>
    <xf numFmtId="0" fontId="0" fillId="0" borderId="0" xfId="0" applyNumberFormat="1" applyFont="1" applyAlignment="1">
      <alignment wrapText="1"/>
    </xf>
    <xf numFmtId="0" fontId="0" fillId="0" borderId="3" xfId="0" applyFont="1" applyBorder="1" applyAlignment="1"/>
    <xf numFmtId="0" fontId="0" fillId="0" borderId="3" xfId="0" applyFont="1" applyBorder="1"/>
    <xf numFmtId="164" fontId="0" fillId="0" borderId="0" xfId="0" applyNumberFormat="1" applyFont="1" applyFill="1" applyAlignment="1">
      <alignment wrapText="1"/>
    </xf>
    <xf numFmtId="0" fontId="0" fillId="0" borderId="0" xfId="0" applyFont="1" applyBorder="1"/>
    <xf numFmtId="0" fontId="0" fillId="0" borderId="8" xfId="0" applyFont="1" applyBorder="1" applyAlignment="1"/>
    <xf numFmtId="164" fontId="0" fillId="0" borderId="8" xfId="0" applyNumberFormat="1" applyFont="1" applyBorder="1" applyAlignment="1"/>
    <xf numFmtId="164" fontId="0" fillId="0" borderId="6" xfId="0" applyNumberFormat="1" applyFont="1" applyBorder="1" applyAlignment="1"/>
    <xf numFmtId="0" fontId="4" fillId="0" borderId="0" xfId="0" applyFont="1"/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4" borderId="3" xfId="0" applyFont="1" applyFill="1" applyBorder="1" applyAlignment="1"/>
    <xf numFmtId="0" fontId="7" fillId="0" borderId="0" xfId="0" applyFont="1"/>
    <xf numFmtId="0" fontId="8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Border="1" applyAlignment="1"/>
    <xf numFmtId="2" fontId="4" fillId="0" borderId="0" xfId="0" applyNumberFormat="1" applyFont="1"/>
    <xf numFmtId="43" fontId="4" fillId="0" borderId="0" xfId="0" applyNumberFormat="1" applyFont="1"/>
    <xf numFmtId="166" fontId="0" fillId="0" borderId="0" xfId="1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0" fillId="2" borderId="0" xfId="0" applyNumberFormat="1" applyFont="1" applyFill="1" applyAlignment="1">
      <alignment horizontal="right" wrapText="1"/>
    </xf>
    <xf numFmtId="0" fontId="0" fillId="5" borderId="0" xfId="0" applyNumberFormat="1" applyFont="1" applyFill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166" fontId="0" fillId="0" borderId="0" xfId="1" applyNumberFormat="1" applyFont="1" applyAlignment="1">
      <alignment horizontal="right" wrapText="1"/>
    </xf>
    <xf numFmtId="166" fontId="2" fillId="0" borderId="0" xfId="1" applyNumberFormat="1" applyFont="1" applyAlignment="1">
      <alignment horizontal="right" wrapText="1"/>
    </xf>
    <xf numFmtId="9" fontId="2" fillId="0" borderId="0" xfId="2" applyFont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9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7" fontId="4" fillId="0" borderId="0" xfId="2" applyNumberFormat="1" applyFont="1"/>
    <xf numFmtId="166" fontId="5" fillId="0" borderId="0" xfId="1" applyNumberFormat="1" applyFont="1" applyAlignment="1">
      <alignment horizontal="right"/>
    </xf>
    <xf numFmtId="166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 wrapText="1"/>
    </xf>
    <xf numFmtId="43" fontId="0" fillId="0" borderId="0" xfId="1" applyFont="1" applyAlignment="1">
      <alignment horizontal="right" wrapText="1"/>
    </xf>
    <xf numFmtId="166" fontId="0" fillId="0" borderId="0" xfId="0" applyNumberFormat="1" applyFont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64" fontId="1" fillId="0" borderId="8" xfId="0" applyNumberFormat="1" applyFont="1" applyBorder="1" applyAlignment="1"/>
    <xf numFmtId="9" fontId="0" fillId="0" borderId="0" xfId="2" applyFont="1" applyAlignment="1">
      <alignment horizontal="right" wrapText="1"/>
    </xf>
    <xf numFmtId="168" fontId="0" fillId="0" borderId="0" xfId="0" applyNumberFormat="1" applyFont="1" applyAlignment="1">
      <alignment horizontal="right" wrapText="1"/>
    </xf>
    <xf numFmtId="168" fontId="0" fillId="0" borderId="0" xfId="0" applyNumberFormat="1" applyFont="1" applyFill="1" applyAlignment="1">
      <alignment horizontal="right" wrapText="1"/>
    </xf>
    <xf numFmtId="167" fontId="0" fillId="0" borderId="0" xfId="2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/>
    <xf numFmtId="169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166" fontId="6" fillId="0" borderId="0" xfId="1" applyNumberFormat="1" applyFont="1" applyAlignment="1">
      <alignment horizontal="right" indent="2"/>
    </xf>
    <xf numFmtId="0" fontId="2" fillId="0" borderId="0" xfId="0" applyNumberFormat="1" applyFont="1"/>
    <xf numFmtId="2" fontId="0" fillId="0" borderId="0" xfId="0" applyNumberFormat="1"/>
    <xf numFmtId="0" fontId="2" fillId="0" borderId="0" xfId="0" applyNumberFormat="1" applyFont="1" applyFill="1"/>
    <xf numFmtId="1" fontId="0" fillId="0" borderId="0" xfId="0" applyNumberFormat="1"/>
    <xf numFmtId="0" fontId="2" fillId="0" borderId="0" xfId="0" applyFont="1" applyAlignment="1">
      <alignment horizontal="center"/>
    </xf>
    <xf numFmtId="166" fontId="0" fillId="0" borderId="0" xfId="1" applyNumberFormat="1" applyFont="1"/>
    <xf numFmtId="166" fontId="2" fillId="0" borderId="0" xfId="1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9" fontId="0" fillId="0" borderId="0" xfId="2" applyFont="1"/>
    <xf numFmtId="167" fontId="0" fillId="0" borderId="0" xfId="2" applyNumberFormat="1" applyFont="1"/>
    <xf numFmtId="170" fontId="4" fillId="0" borderId="0" xfId="0" applyNumberFormat="1" applyFont="1"/>
    <xf numFmtId="0" fontId="4" fillId="0" borderId="0" xfId="0" applyFont="1" applyAlignment="1">
      <alignment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3" fontId="7" fillId="0" borderId="0" xfId="0" applyNumberFormat="1" applyFont="1" applyAlignment="1">
      <alignment horizontal="center" wrapText="1"/>
    </xf>
    <xf numFmtId="166" fontId="0" fillId="0" borderId="0" xfId="0" applyNumberFormat="1"/>
    <xf numFmtId="171" fontId="0" fillId="0" borderId="0" xfId="3" applyNumberFormat="1" applyFont="1"/>
    <xf numFmtId="171" fontId="0" fillId="0" borderId="0" xfId="0" applyNumberFormat="1"/>
    <xf numFmtId="172" fontId="0" fillId="0" borderId="0" xfId="3" applyNumberFormat="1" applyFont="1"/>
    <xf numFmtId="2" fontId="2" fillId="0" borderId="0" xfId="0" applyNumberFormat="1" applyFont="1"/>
    <xf numFmtId="171" fontId="2" fillId="0" borderId="0" xfId="0" applyNumberFormat="1" applyFont="1"/>
    <xf numFmtId="171" fontId="2" fillId="0" borderId="0" xfId="3" applyNumberFormat="1" applyFont="1"/>
    <xf numFmtId="172" fontId="2" fillId="0" borderId="0" xfId="3" applyNumberFormat="1" applyFont="1"/>
    <xf numFmtId="1" fontId="2" fillId="0" borderId="0" xfId="0" applyNumberFormat="1" applyFont="1"/>
    <xf numFmtId="165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71" fontId="2" fillId="0" borderId="0" xfId="0" applyNumberFormat="1" applyFont="1" applyAlignment="1">
      <alignment horizontal="center" vertical="center" wrapText="1"/>
    </xf>
    <xf numFmtId="172" fontId="2" fillId="0" borderId="0" xfId="3" applyNumberFormat="1" applyFont="1" applyAlignment="1">
      <alignment horizontal="center" vertical="center" wrapText="1"/>
    </xf>
    <xf numFmtId="171" fontId="0" fillId="0" borderId="0" xfId="0" applyNumberFormat="1" applyAlignment="1">
      <alignment vertical="center"/>
    </xf>
    <xf numFmtId="172" fontId="0" fillId="0" borderId="0" xfId="3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1" fillId="0" borderId="0" xfId="0" applyFont="1"/>
    <xf numFmtId="10" fontId="0" fillId="0" borderId="0" xfId="2" applyNumberFormat="1" applyFont="1"/>
    <xf numFmtId="164" fontId="4" fillId="0" borderId="0" xfId="0" applyNumberFormat="1" applyFont="1"/>
    <xf numFmtId="169" fontId="2" fillId="0" borderId="0" xfId="3" applyNumberFormat="1" applyFont="1"/>
    <xf numFmtId="165" fontId="2" fillId="0" borderId="0" xfId="1" applyNumberFormat="1" applyFont="1" applyAlignment="1">
      <alignment horizontal="right" indent="2"/>
    </xf>
    <xf numFmtId="0" fontId="10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13FAB-D4F4-7340-A76B-C3E7D3F493EE}">
  <dimension ref="A1:N21"/>
  <sheetViews>
    <sheetView workbookViewId="0">
      <selection activeCell="G20" sqref="G20"/>
    </sheetView>
  </sheetViews>
  <sheetFormatPr baseColWidth="10" defaultRowHeight="15" x14ac:dyDescent="0.2"/>
  <cols>
    <col min="1" max="3" width="17.6640625" customWidth="1"/>
    <col min="4" max="4" width="17.6640625" style="135" customWidth="1"/>
    <col min="5" max="5" width="17.6640625" style="133" customWidth="1"/>
    <col min="6" max="7" width="17.6640625" customWidth="1"/>
    <col min="8" max="8" width="17.6640625" style="135" customWidth="1"/>
    <col min="9" max="9" width="22.1640625" style="135" customWidth="1"/>
    <col min="10" max="10" width="17.1640625" customWidth="1"/>
    <col min="11" max="11" width="20" customWidth="1"/>
    <col min="12" max="12" width="15.6640625" customWidth="1"/>
    <col min="13" max="13" width="16.33203125" style="149" customWidth="1"/>
    <col min="14" max="14" width="14.83203125" style="150" customWidth="1"/>
  </cols>
  <sheetData>
    <row r="1" spans="1:14" x14ac:dyDescent="0.2">
      <c r="A1" s="166" t="s">
        <v>218</v>
      </c>
    </row>
    <row r="2" spans="1:14" s="138" customFormat="1" ht="43" customHeight="1" x14ac:dyDescent="0.2">
      <c r="A2" s="163"/>
      <c r="B2" s="158" t="s">
        <v>220</v>
      </c>
      <c r="C2" s="158" t="s">
        <v>210</v>
      </c>
      <c r="D2" s="164" t="s">
        <v>223</v>
      </c>
      <c r="E2" s="165" t="s">
        <v>215</v>
      </c>
      <c r="F2" s="158" t="s">
        <v>216</v>
      </c>
      <c r="G2" s="158" t="s">
        <v>217</v>
      </c>
      <c r="H2" s="164"/>
      <c r="I2" s="164"/>
      <c r="J2" s="139"/>
    </row>
    <row r="3" spans="1:14" x14ac:dyDescent="0.2">
      <c r="A3" s="3" t="s">
        <v>85</v>
      </c>
      <c r="B3" s="131">
        <f>'Fair Share Calculation'!B5</f>
        <v>1.99</v>
      </c>
      <c r="C3" s="141">
        <f>'Fair Share Calculation'!C5</f>
        <v>3.9633539135630343E-2</v>
      </c>
      <c r="D3" s="135">
        <f>Canada!B6</f>
        <v>3495.1034482758623</v>
      </c>
      <c r="E3" s="121">
        <f>Canada!B19</f>
        <v>19.98774640383591</v>
      </c>
      <c r="F3" s="149">
        <f>Canada!B8</f>
        <v>38610.038610038609</v>
      </c>
      <c r="G3" s="149">
        <f>Canada!B16</f>
        <v>200200.20020020023</v>
      </c>
      <c r="J3" s="149"/>
    </row>
    <row r="4" spans="1:14" x14ac:dyDescent="0.2">
      <c r="A4" s="3" t="s">
        <v>86</v>
      </c>
      <c r="B4" s="131">
        <f>'Fair Share Calculation'!B6</f>
        <v>17.09</v>
      </c>
      <c r="C4" s="141">
        <f>'Fair Share Calculation'!C6</f>
        <v>0.34037044413463446</v>
      </c>
      <c r="D4" s="135">
        <f>'European Union'!B6</f>
        <v>27941.919980776162</v>
      </c>
      <c r="E4" s="121">
        <f>'European Union'!B19</f>
        <v>16.785683681339087</v>
      </c>
      <c r="F4" s="149">
        <f>'European Union'!B8</f>
        <v>50293.623683461432</v>
      </c>
      <c r="G4" s="149">
        <f>'European Union'!B16</f>
        <v>35110</v>
      </c>
      <c r="J4" s="149"/>
    </row>
    <row r="5" spans="1:14" x14ac:dyDescent="0.2">
      <c r="A5" s="3" t="s">
        <v>83</v>
      </c>
      <c r="B5" s="131">
        <f>'Fair Share Calculation'!B3</f>
        <v>4.9400000000000004</v>
      </c>
      <c r="C5" s="141">
        <f>'Fair Share Calculation'!C3</f>
        <v>9.8386775542720573E-2</v>
      </c>
      <c r="D5" s="135">
        <f>Japan!B6</f>
        <v>19575</v>
      </c>
      <c r="E5" s="121">
        <f>Japan!B19</f>
        <v>13.066309067688378</v>
      </c>
      <c r="F5" s="149">
        <f>Japan!B8</f>
        <v>38167.938931297707</v>
      </c>
      <c r="G5" s="149">
        <f>Japan!B16</f>
        <v>69072.373256118924</v>
      </c>
      <c r="J5" s="149"/>
    </row>
    <row r="6" spans="1:14" x14ac:dyDescent="0.2">
      <c r="A6" s="3" t="s">
        <v>84</v>
      </c>
      <c r="B6" s="131">
        <f>'Fair Share Calculation'!B4</f>
        <v>3.19</v>
      </c>
      <c r="C6" s="141">
        <f>'Fair Share Calculation'!C4</f>
        <v>6.3533160724955171E-2</v>
      </c>
      <c r="D6" s="135">
        <f>'United Kingdom'!B6</f>
        <v>6417</v>
      </c>
      <c r="E6" s="121">
        <f>'United Kingdom'!B19</f>
        <v>17.052992518703242</v>
      </c>
      <c r="F6" s="149">
        <f>'United Kingdom'!B8</f>
        <v>24800</v>
      </c>
      <c r="G6" s="149">
        <f>'United Kingdom'!B16</f>
        <v>29461.457233368532</v>
      </c>
      <c r="J6" s="149"/>
    </row>
    <row r="7" spans="1:14" x14ac:dyDescent="0.2">
      <c r="A7" s="3" t="s">
        <v>209</v>
      </c>
      <c r="B7" s="131">
        <f>'Fair Share Calculation'!B2</f>
        <v>23</v>
      </c>
      <c r="C7" s="141">
        <f>'Fair Share Calculation'!C2</f>
        <v>0.45807608046205928</v>
      </c>
      <c r="D7" s="135">
        <f>USA!B6</f>
        <v>27800</v>
      </c>
      <c r="E7" s="121">
        <f>USA!B19</f>
        <v>17</v>
      </c>
      <c r="F7" s="149">
        <f>USA!B8</f>
        <v>100000</v>
      </c>
      <c r="G7" s="149">
        <f>USA!B16</f>
        <v>131000</v>
      </c>
      <c r="J7" s="149"/>
    </row>
    <row r="8" spans="1:14" x14ac:dyDescent="0.2">
      <c r="F8" s="149"/>
      <c r="G8" s="149"/>
      <c r="J8" s="149"/>
    </row>
    <row r="9" spans="1:14" s="3" customFormat="1" x14ac:dyDescent="0.2">
      <c r="A9" s="3" t="s">
        <v>89</v>
      </c>
      <c r="B9" s="151">
        <f>SUM(B3:B7)</f>
        <v>50.21</v>
      </c>
      <c r="C9" s="151">
        <f t="shared" ref="C9" si="0">SUM(C3:C7)</f>
        <v>0.99999999999999978</v>
      </c>
      <c r="D9" s="136">
        <f>SUM(D3:D7)</f>
        <v>85229.023429052031</v>
      </c>
      <c r="E9" s="155"/>
      <c r="F9" s="152"/>
      <c r="G9" s="152"/>
      <c r="H9" s="136"/>
      <c r="I9" s="136"/>
      <c r="J9" s="152"/>
    </row>
    <row r="13" spans="1:14" x14ac:dyDescent="0.2">
      <c r="A13" s="166" t="s">
        <v>219</v>
      </c>
    </row>
    <row r="14" spans="1:14" s="157" customFormat="1" ht="31" customHeight="1" x14ac:dyDescent="0.2">
      <c r="B14" s="158" t="s">
        <v>211</v>
      </c>
      <c r="C14" s="158" t="s">
        <v>212</v>
      </c>
      <c r="D14" s="159" t="s">
        <v>214</v>
      </c>
      <c r="E14" s="160" t="s">
        <v>213</v>
      </c>
      <c r="F14" s="158" t="s">
        <v>221</v>
      </c>
      <c r="G14" s="158" t="s">
        <v>222</v>
      </c>
      <c r="H14" s="164" t="s">
        <v>224</v>
      </c>
      <c r="I14" s="164" t="s">
        <v>225</v>
      </c>
      <c r="J14" s="158" t="s">
        <v>228</v>
      </c>
      <c r="K14" s="158" t="s">
        <v>229</v>
      </c>
      <c r="M14" s="161"/>
      <c r="N14" s="162"/>
    </row>
    <row r="15" spans="1:14" x14ac:dyDescent="0.2">
      <c r="A15" s="3" t="s">
        <v>85</v>
      </c>
      <c r="B15" s="149">
        <f>'Fair Share Calculation'!D5</f>
        <v>178350926.11033654</v>
      </c>
      <c r="C15" s="148">
        <f>Canada!I13</f>
        <v>464272441.54680181</v>
      </c>
      <c r="D15" s="149">
        <f>Canada!I29</f>
        <v>1542450884.0291977</v>
      </c>
      <c r="E15" s="150">
        <f>Canada!V14</f>
        <v>107010555.66620192</v>
      </c>
      <c r="F15" s="149">
        <f>Canada!I9</f>
        <v>2090111764.7584181</v>
      </c>
      <c r="G15" s="149">
        <f>Canada!I25</f>
        <v>31486958443.0201</v>
      </c>
      <c r="H15" s="135">
        <f>Canada!I5</f>
        <v>2512.1161098022044</v>
      </c>
      <c r="I15" s="135">
        <f>Canada!I21</f>
        <v>48146.618846236517</v>
      </c>
      <c r="J15" s="156">
        <f>Canada!I16</f>
        <v>4.5019078836444804</v>
      </c>
      <c r="K15" s="156">
        <f>Canada!I32</f>
        <v>20.413589028371337</v>
      </c>
      <c r="M15" s="167"/>
      <c r="N15" s="140"/>
    </row>
    <row r="16" spans="1:14" x14ac:dyDescent="0.2">
      <c r="A16" s="3" t="s">
        <v>86</v>
      </c>
      <c r="B16" s="149">
        <f>'Fair Share Calculation'!D6</f>
        <v>1531666998.605855</v>
      </c>
      <c r="C16" s="148">
        <f>'European Union'!J13</f>
        <v>3987143731.6758003</v>
      </c>
      <c r="D16" s="149">
        <f>'European Union'!J29</f>
        <v>13246475179.92914</v>
      </c>
      <c r="E16" s="150">
        <f>'European Union'!W14</f>
        <v>919000199.16351306</v>
      </c>
      <c r="F16" s="149">
        <f>'European Union'!J9</f>
        <v>15504785978.330666</v>
      </c>
      <c r="G16" s="149">
        <f>'European Union'!J25</f>
        <v>241452116345.73474</v>
      </c>
      <c r="H16" s="135">
        <f>'European Union'!J5</f>
        <v>20083.338980177636</v>
      </c>
      <c r="I16" s="135">
        <f>'European Union'!J21</f>
        <v>384912.49001803144</v>
      </c>
      <c r="J16" s="156">
        <f>'European Union'!J16</f>
        <v>3.8886950212386724</v>
      </c>
      <c r="K16" s="156">
        <f>'European Union'!J32</f>
        <v>18.227650228913678</v>
      </c>
      <c r="M16" s="167"/>
      <c r="N16" s="140"/>
    </row>
    <row r="17" spans="1:14" x14ac:dyDescent="0.2">
      <c r="A17" s="3" t="s">
        <v>83</v>
      </c>
      <c r="B17" s="149">
        <f>'Fair Share Calculation'!D3</f>
        <v>442740489.94224256</v>
      </c>
      <c r="C17" s="148">
        <f>Japan!I13</f>
        <v>1152515508.1614077</v>
      </c>
      <c r="D17" s="149">
        <f>Japan!I29</f>
        <v>3828998676.9368029</v>
      </c>
      <c r="E17" s="150">
        <f>Japan!V14</f>
        <v>265644293.96534553</v>
      </c>
      <c r="F17" s="149">
        <f>Japan!I9</f>
        <v>6927492524.3605843</v>
      </c>
      <c r="G17" s="149">
        <f>Japan!I25</f>
        <v>106170300423.92896</v>
      </c>
      <c r="H17" s="135">
        <f>Japan!I5</f>
        <v>14069.590092858643</v>
      </c>
      <c r="I17" s="135">
        <f>Japan!I21</f>
        <v>269654.41162549879</v>
      </c>
      <c r="J17" s="156">
        <f>Japan!I16</f>
        <v>6.0107586191286213</v>
      </c>
      <c r="K17" s="156">
        <f>Japan!I32</f>
        <v>27.727954324827593</v>
      </c>
      <c r="M17" s="167"/>
      <c r="N17" s="140"/>
    </row>
    <row r="18" spans="1:14" x14ac:dyDescent="0.2">
      <c r="A18" s="3" t="s">
        <v>84</v>
      </c>
      <c r="B18" s="149">
        <f>'Fair Share Calculation'!D4</f>
        <v>285899223.26229829</v>
      </c>
      <c r="C18" s="148">
        <f>'United Kingdom'!G13</f>
        <v>744235722.88155663</v>
      </c>
      <c r="D18" s="149">
        <f>'United Kingdom'!G29</f>
        <v>2472572020.1272063</v>
      </c>
      <c r="E18" s="150">
        <f>'United Kingdom'!T14</f>
        <v>171539533.95737895</v>
      </c>
      <c r="F18" s="149">
        <f>'United Kingdom'!G9</f>
        <v>1824917416.2143319</v>
      </c>
      <c r="G18" s="149">
        <f>'United Kingdom'!G25</f>
        <v>28281288814.482452</v>
      </c>
      <c r="H18" s="135">
        <f>'United Kingdom'!G5</f>
        <v>4612.2380396359604</v>
      </c>
      <c r="I18" s="135">
        <f>'United Kingdom'!G21</f>
        <v>88397.055397232485</v>
      </c>
      <c r="J18" s="156">
        <f>'United Kingdom'!G16</f>
        <v>2.4520690959963005</v>
      </c>
      <c r="K18" s="156">
        <f>'United Kingdom'!G32</f>
        <v>11.438004063892734</v>
      </c>
      <c r="M18" s="167"/>
      <c r="N18" s="140"/>
    </row>
    <row r="19" spans="1:14" x14ac:dyDescent="0.2">
      <c r="A19" s="3" t="s">
        <v>209</v>
      </c>
      <c r="B19" s="149">
        <f>'Fair Share Calculation'!D2</f>
        <v>2061342362.0792668</v>
      </c>
      <c r="C19" s="148">
        <f>USA!E13</f>
        <v>5388499936.3969173</v>
      </c>
      <c r="D19" s="149">
        <f>USA!E29</f>
        <v>17902196526.667728</v>
      </c>
      <c r="E19" s="150">
        <f>USA!R14</f>
        <v>1242000000</v>
      </c>
      <c r="F19" s="149">
        <f>USA!E9</f>
        <v>31968621040.950756</v>
      </c>
      <c r="G19" s="149">
        <f>USA!E25</f>
        <v>494809804873.97198</v>
      </c>
      <c r="H19" s="135">
        <f>USA!E5</f>
        <v>19981.333567380345</v>
      </c>
      <c r="I19" s="135">
        <f>USA!E21</f>
        <v>382957.47857925249</v>
      </c>
      <c r="J19" s="156">
        <f>USA!E16</f>
        <v>5.9327496368733268</v>
      </c>
      <c r="K19" s="156">
        <f>USA!E32</f>
        <v>27.639614174544796</v>
      </c>
      <c r="M19" s="167"/>
      <c r="N19" s="140"/>
    </row>
    <row r="20" spans="1:14" x14ac:dyDescent="0.2">
      <c r="B20" s="149"/>
      <c r="C20" s="148"/>
      <c r="D20" s="149"/>
      <c r="E20" s="150"/>
    </row>
    <row r="21" spans="1:14" x14ac:dyDescent="0.2">
      <c r="A21" s="3" t="s">
        <v>227</v>
      </c>
      <c r="B21" s="152">
        <f t="shared" ref="B21:G21" si="1">SUM(B15:B19)</f>
        <v>4499999999.999999</v>
      </c>
      <c r="C21" s="153">
        <f t="shared" si="1"/>
        <v>11736667340.662483</v>
      </c>
      <c r="D21" s="152">
        <f t="shared" si="1"/>
        <v>38992693287.690079</v>
      </c>
      <c r="E21" s="154">
        <f t="shared" si="1"/>
        <v>2705194582.7524395</v>
      </c>
      <c r="F21" s="154">
        <f t="shared" si="1"/>
        <v>58315928724.614761</v>
      </c>
      <c r="G21" s="154">
        <f t="shared" si="1"/>
        <v>902200468901.13818</v>
      </c>
      <c r="H21" s="136">
        <f>SUM(H15:H19)</f>
        <v>61258.616789854786</v>
      </c>
      <c r="I21" s="136">
        <f>SUM(I15:I19)</f>
        <v>1174068.0544662517</v>
      </c>
      <c r="J21" s="169">
        <f>F21/C21</f>
        <v>4.9686957150583329</v>
      </c>
      <c r="K21" s="170">
        <f>G21/D21</f>
        <v>23.13768023779884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99BB-BC34-E040-A910-7C17F79E6EC8}">
  <dimension ref="A1:D12"/>
  <sheetViews>
    <sheetView workbookViewId="0">
      <selection activeCell="E21" sqref="E21"/>
    </sheetView>
  </sheetViews>
  <sheetFormatPr baseColWidth="10" defaultRowHeight="15" x14ac:dyDescent="0.2"/>
  <cols>
    <col min="1" max="1" width="16.1640625" customWidth="1"/>
    <col min="3" max="3" width="18.1640625" customWidth="1"/>
    <col min="4" max="4" width="19.1640625" customWidth="1"/>
    <col min="5" max="5" width="14.1640625" customWidth="1"/>
  </cols>
  <sheetData>
    <row r="1" spans="1:4" s="137" customFormat="1" ht="32" x14ac:dyDescent="0.2">
      <c r="A1" s="143"/>
      <c r="B1" s="144" t="s">
        <v>79</v>
      </c>
      <c r="C1" s="145" t="s">
        <v>80</v>
      </c>
      <c r="D1" s="146" t="s">
        <v>81</v>
      </c>
    </row>
    <row r="2" spans="1:4" x14ac:dyDescent="0.2">
      <c r="A2" s="84" t="s">
        <v>82</v>
      </c>
      <c r="B2" s="89">
        <v>23</v>
      </c>
      <c r="C2" s="107">
        <f>B2/$B$8</f>
        <v>0.45807608046205928</v>
      </c>
      <c r="D2" s="142">
        <f>4500000000*C2</f>
        <v>2061342362.0792668</v>
      </c>
    </row>
    <row r="3" spans="1:4" x14ac:dyDescent="0.2">
      <c r="A3" s="84" t="s">
        <v>83</v>
      </c>
      <c r="B3" s="89">
        <v>4.9400000000000004</v>
      </c>
      <c r="C3" s="107">
        <f t="shared" ref="C3:C6" si="0">B3/$B$8</f>
        <v>9.8386775542720573E-2</v>
      </c>
      <c r="D3" s="142">
        <f t="shared" ref="D3:D6" si="1">4500000000*C3</f>
        <v>442740489.94224256</v>
      </c>
    </row>
    <row r="4" spans="1:4" x14ac:dyDescent="0.2">
      <c r="A4" s="84" t="s">
        <v>84</v>
      </c>
      <c r="B4" s="89">
        <v>3.19</v>
      </c>
      <c r="C4" s="107">
        <f t="shared" si="0"/>
        <v>6.3533160724955171E-2</v>
      </c>
      <c r="D4" s="142">
        <f t="shared" si="1"/>
        <v>285899223.26229829</v>
      </c>
    </row>
    <row r="5" spans="1:4" x14ac:dyDescent="0.2">
      <c r="A5" s="84" t="s">
        <v>85</v>
      </c>
      <c r="B5" s="89">
        <v>1.99</v>
      </c>
      <c r="C5" s="107">
        <f t="shared" si="0"/>
        <v>3.9633539135630343E-2</v>
      </c>
      <c r="D5" s="142">
        <f t="shared" si="1"/>
        <v>178350926.11033654</v>
      </c>
    </row>
    <row r="6" spans="1:4" x14ac:dyDescent="0.2">
      <c r="A6" s="84" t="s">
        <v>86</v>
      </c>
      <c r="B6" s="89">
        <v>17.09</v>
      </c>
      <c r="C6" s="107">
        <f t="shared" si="0"/>
        <v>0.34037044413463446</v>
      </c>
      <c r="D6" s="142">
        <f t="shared" si="1"/>
        <v>1531666998.605855</v>
      </c>
    </row>
    <row r="7" spans="1:4" x14ac:dyDescent="0.2">
      <c r="A7" s="84"/>
      <c r="B7" s="89"/>
      <c r="C7" s="80"/>
      <c r="D7" s="90"/>
    </row>
    <row r="8" spans="1:4" x14ac:dyDescent="0.2">
      <c r="A8" s="84" t="s">
        <v>89</v>
      </c>
      <c r="B8" s="89">
        <f>SUM(B2:B6)</f>
        <v>50.210000000000008</v>
      </c>
      <c r="C8" s="107">
        <f>SUM(C2:C6)</f>
        <v>0.99999999999999989</v>
      </c>
      <c r="D8" s="168">
        <f>SUM(D2:D6)</f>
        <v>4499999999.999999</v>
      </c>
    </row>
    <row r="12" spans="1:4" x14ac:dyDescent="0.2">
      <c r="A1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7B28-23D7-4127-B21A-574DB0A75A26}">
  <dimension ref="A1:S72"/>
  <sheetViews>
    <sheetView zoomScaleNormal="100" workbookViewId="0">
      <selection activeCell="A5" sqref="A5"/>
    </sheetView>
  </sheetViews>
  <sheetFormatPr baseColWidth="10" defaultColWidth="8.83203125" defaultRowHeight="15" x14ac:dyDescent="0.2"/>
  <cols>
    <col min="1" max="1" width="61.33203125" customWidth="1"/>
    <col min="2" max="2" width="20.5" style="2" bestFit="1" customWidth="1"/>
    <col min="4" max="4" width="35.33203125" customWidth="1"/>
    <col min="5" max="5" width="20.83203125" style="29" bestFit="1" customWidth="1"/>
    <col min="6" max="6" width="8.6640625" customWidth="1"/>
    <col min="7" max="7" width="15.33203125" customWidth="1"/>
    <col min="8" max="8" width="8.5" customWidth="1"/>
    <col min="9" max="9" width="15.83203125" bestFit="1" customWidth="1"/>
    <col min="11" max="11" width="15.5" bestFit="1" customWidth="1"/>
    <col min="12" max="12" width="15.5" customWidth="1"/>
    <col min="13" max="13" width="19.5" bestFit="1" customWidth="1"/>
    <col min="14" max="14" width="27.33203125" bestFit="1" customWidth="1"/>
    <col min="15" max="15" width="29.1640625" bestFit="1" customWidth="1"/>
    <col min="16" max="17" width="29.1640625" customWidth="1"/>
    <col min="18" max="19" width="17" bestFit="1" customWidth="1"/>
  </cols>
  <sheetData>
    <row r="1" spans="1:19" ht="16" thickBot="1" x14ac:dyDescent="0.25">
      <c r="A1" s="36" t="s">
        <v>0</v>
      </c>
      <c r="B1" s="41"/>
      <c r="D1" s="38" t="s">
        <v>35</v>
      </c>
      <c r="E1" s="20"/>
      <c r="F1" s="5"/>
      <c r="G1" s="39" t="s">
        <v>17</v>
      </c>
      <c r="H1" s="6"/>
      <c r="I1" s="5"/>
      <c r="J1" s="39" t="s">
        <v>18</v>
      </c>
      <c r="K1" s="39"/>
      <c r="L1" s="39"/>
      <c r="M1" s="5"/>
      <c r="N1" s="5"/>
      <c r="O1" s="5"/>
      <c r="P1" s="5"/>
      <c r="Q1" s="5"/>
      <c r="R1" s="5"/>
      <c r="S1" s="7"/>
    </row>
    <row r="2" spans="1:19" x14ac:dyDescent="0.2">
      <c r="A2" s="36" t="s">
        <v>13</v>
      </c>
      <c r="B2" s="37" t="s">
        <v>1</v>
      </c>
      <c r="D2" s="47" t="s">
        <v>43</v>
      </c>
      <c r="E2" s="21">
        <v>10</v>
      </c>
      <c r="F2" s="8"/>
      <c r="G2" s="40" t="s">
        <v>16</v>
      </c>
      <c r="H2" s="40" t="s">
        <v>52</v>
      </c>
      <c r="I2" s="8"/>
      <c r="J2" s="40" t="s">
        <v>16</v>
      </c>
      <c r="K2" s="44" t="s">
        <v>44</v>
      </c>
      <c r="L2" s="44" t="s">
        <v>19</v>
      </c>
      <c r="M2" s="44" t="s">
        <v>26</v>
      </c>
      <c r="N2" s="44" t="s">
        <v>27</v>
      </c>
      <c r="O2" s="44" t="s">
        <v>28</v>
      </c>
      <c r="P2" s="44" t="s">
        <v>38</v>
      </c>
      <c r="Q2" s="44" t="s">
        <v>40</v>
      </c>
      <c r="R2" s="9" t="s">
        <v>30</v>
      </c>
      <c r="S2" s="10" t="s">
        <v>31</v>
      </c>
    </row>
    <row r="3" spans="1:19" x14ac:dyDescent="0.2">
      <c r="A3" t="s">
        <v>2</v>
      </c>
      <c r="B3" s="1">
        <v>4500000000</v>
      </c>
      <c r="D3" s="42" t="s">
        <v>12</v>
      </c>
      <c r="E3" s="22"/>
      <c r="F3" s="8"/>
      <c r="G3" s="8">
        <v>1</v>
      </c>
      <c r="H3" s="8">
        <f>B$6*(B$10^G3)</f>
        <v>28356</v>
      </c>
      <c r="I3" s="8"/>
      <c r="J3" s="8">
        <v>1</v>
      </c>
      <c r="K3" s="8">
        <v>0</v>
      </c>
      <c r="L3" s="8">
        <f>H3*SUM(K$3:K3)*B$5</f>
        <v>0</v>
      </c>
      <c r="M3" s="8">
        <f t="shared" ref="M3:M32" si="0">B$19*L3</f>
        <v>0</v>
      </c>
      <c r="N3" s="11">
        <f t="shared" ref="N3:N32" si="1">M3*B$8</f>
        <v>0</v>
      </c>
      <c r="O3" s="11">
        <f t="shared" ref="O3:O32" si="2">N3*(B$17^J3)</f>
        <v>0</v>
      </c>
      <c r="P3" s="11">
        <f t="shared" ref="P3:P32" si="3">L3*B$16</f>
        <v>0</v>
      </c>
      <c r="Q3" s="11">
        <f t="shared" ref="Q3:Q32" si="4">P3*(B$18^J3)</f>
        <v>0</v>
      </c>
      <c r="R3" s="11">
        <f t="shared" ref="R3:R12" si="5">B$5*J3*(B$3/10)*B$4</f>
        <v>124200000</v>
      </c>
      <c r="S3" s="12">
        <f t="shared" ref="S3:S32" si="6">R3*(B$18^J3)</f>
        <v>120000000.00000001</v>
      </c>
    </row>
    <row r="4" spans="1:19" x14ac:dyDescent="0.2">
      <c r="A4" t="s">
        <v>3</v>
      </c>
      <c r="B4" s="2">
        <v>0.46</v>
      </c>
      <c r="D4" s="42" t="s">
        <v>13</v>
      </c>
      <c r="E4" s="43" t="s">
        <v>1</v>
      </c>
      <c r="F4" s="8"/>
      <c r="G4" s="8">
        <v>2</v>
      </c>
      <c r="H4" s="8">
        <f>B$6*(B$10^G4)</f>
        <v>28923.119999999999</v>
      </c>
      <c r="I4" s="8"/>
      <c r="J4" s="8">
        <v>2</v>
      </c>
      <c r="K4" s="8">
        <v>0</v>
      </c>
      <c r="L4" s="8">
        <f>H4*SUM(K$3:K4)*B$5</f>
        <v>0</v>
      </c>
      <c r="M4" s="8">
        <f t="shared" si="0"/>
        <v>0</v>
      </c>
      <c r="N4" s="11">
        <f t="shared" si="1"/>
        <v>0</v>
      </c>
      <c r="O4" s="11">
        <f t="shared" si="2"/>
        <v>0</v>
      </c>
      <c r="P4" s="11">
        <f t="shared" si="3"/>
        <v>0</v>
      </c>
      <c r="Q4" s="11">
        <f t="shared" si="4"/>
        <v>0</v>
      </c>
      <c r="R4" s="11">
        <f t="shared" si="5"/>
        <v>248400000</v>
      </c>
      <c r="S4" s="12">
        <f t="shared" si="6"/>
        <v>231884057.97101453</v>
      </c>
    </row>
    <row r="5" spans="1:19" x14ac:dyDescent="0.2">
      <c r="A5" t="s">
        <v>42</v>
      </c>
      <c r="B5" s="2">
        <v>0.6</v>
      </c>
      <c r="D5" s="13" t="s">
        <v>22</v>
      </c>
      <c r="E5" s="23">
        <f>SUM(L3:L12)</f>
        <v>19981.333567380345</v>
      </c>
      <c r="F5" s="8"/>
      <c r="G5" s="8">
        <v>3</v>
      </c>
      <c r="H5" s="8">
        <f t="shared" ref="H5:H32" si="7">B$6*(B$10^G5)</f>
        <v>29501.582399999999</v>
      </c>
      <c r="I5" s="8"/>
      <c r="J5" s="8">
        <v>3</v>
      </c>
      <c r="K5" s="8">
        <v>0</v>
      </c>
      <c r="L5" s="8">
        <f>H5*SUM(K$3:K5)*B$5</f>
        <v>0</v>
      </c>
      <c r="M5" s="8">
        <f t="shared" si="0"/>
        <v>0</v>
      </c>
      <c r="N5" s="11">
        <f t="shared" si="1"/>
        <v>0</v>
      </c>
      <c r="O5" s="11">
        <f t="shared" si="2"/>
        <v>0</v>
      </c>
      <c r="P5" s="11">
        <f t="shared" si="3"/>
        <v>0</v>
      </c>
      <c r="Q5" s="11">
        <f t="shared" si="4"/>
        <v>0</v>
      </c>
      <c r="R5" s="11">
        <f t="shared" si="5"/>
        <v>372599999.99999994</v>
      </c>
      <c r="S5" s="12">
        <f t="shared" si="6"/>
        <v>336063852.13190508</v>
      </c>
    </row>
    <row r="6" spans="1:19" x14ac:dyDescent="0.2">
      <c r="A6" t="s">
        <v>21</v>
      </c>
      <c r="B6" s="2">
        <f>27800</f>
        <v>27800</v>
      </c>
      <c r="D6" s="13" t="s">
        <v>23</v>
      </c>
      <c r="E6" s="22">
        <f>E5*B$19</f>
        <v>339682.67064546584</v>
      </c>
      <c r="F6" s="8"/>
      <c r="G6" s="8">
        <v>4</v>
      </c>
      <c r="H6" s="8">
        <f t="shared" si="7"/>
        <v>30091.614047999999</v>
      </c>
      <c r="I6" s="8"/>
      <c r="J6" s="8">
        <v>4</v>
      </c>
      <c r="K6" s="8">
        <v>0</v>
      </c>
      <c r="L6" s="8">
        <f>H6*SUM(K$3:K6)*B$5</f>
        <v>0</v>
      </c>
      <c r="M6" s="8">
        <f t="shared" si="0"/>
        <v>0</v>
      </c>
      <c r="N6" s="11">
        <f t="shared" si="1"/>
        <v>0</v>
      </c>
      <c r="O6" s="11">
        <f t="shared" si="2"/>
        <v>0</v>
      </c>
      <c r="P6" s="11">
        <f t="shared" si="3"/>
        <v>0</v>
      </c>
      <c r="Q6" s="11">
        <f t="shared" si="4"/>
        <v>0</v>
      </c>
      <c r="R6" s="11">
        <f t="shared" si="5"/>
        <v>496800000</v>
      </c>
      <c r="S6" s="12">
        <f t="shared" si="6"/>
        <v>432932498.72065073</v>
      </c>
    </row>
    <row r="7" spans="1:19" x14ac:dyDescent="0.2">
      <c r="A7" t="s">
        <v>36</v>
      </c>
      <c r="B7" s="2">
        <f>1270000*B12</f>
        <v>927100</v>
      </c>
      <c r="D7" s="13" t="s">
        <v>37</v>
      </c>
      <c r="E7" s="22">
        <f>SUM(O3:O12)</f>
        <v>30002367033.676456</v>
      </c>
      <c r="F7" s="8"/>
      <c r="G7" s="8">
        <v>5</v>
      </c>
      <c r="H7" s="8">
        <f>B$6*(B$10^G7)</f>
        <v>30693.446328959999</v>
      </c>
      <c r="I7" s="8"/>
      <c r="J7" s="8">
        <v>5</v>
      </c>
      <c r="K7" s="8">
        <f>B$14</f>
        <v>0.05</v>
      </c>
      <c r="L7" s="8">
        <f>H7*SUM(K$3:K7)*B$5</f>
        <v>920.80338986879997</v>
      </c>
      <c r="M7" s="8">
        <f t="shared" si="0"/>
        <v>15653.6576277696</v>
      </c>
      <c r="N7" s="11">
        <f t="shared" si="1"/>
        <v>1565365762.7769601</v>
      </c>
      <c r="O7" s="11">
        <f t="shared" si="2"/>
        <v>1453066932.3341887</v>
      </c>
      <c r="P7" s="11">
        <f>L7*B$16</f>
        <v>120625244.0728128</v>
      </c>
      <c r="Q7" s="11">
        <f>P7*(B$18^J7)</f>
        <v>101563218.7550686</v>
      </c>
      <c r="R7" s="11">
        <f t="shared" si="5"/>
        <v>621000000</v>
      </c>
      <c r="S7" s="12">
        <f t="shared" si="6"/>
        <v>522865336.61914343</v>
      </c>
    </row>
    <row r="8" spans="1:19" x14ac:dyDescent="0.2">
      <c r="A8" t="s">
        <v>14</v>
      </c>
      <c r="B8" s="1">
        <f>100000</f>
        <v>100000</v>
      </c>
      <c r="D8" s="13" t="s">
        <v>41</v>
      </c>
      <c r="E8" s="22">
        <f>SUM(Q3:Q12)</f>
        <v>1966254007.2742982</v>
      </c>
      <c r="F8" s="8"/>
      <c r="G8" s="8">
        <v>6</v>
      </c>
      <c r="H8" s="8">
        <f t="shared" si="7"/>
        <v>31307.315255539201</v>
      </c>
      <c r="I8" s="8"/>
      <c r="J8" s="8">
        <v>6</v>
      </c>
      <c r="K8" s="8">
        <f>K7*$B$15</f>
        <v>4.9000000000000002E-2</v>
      </c>
      <c r="L8" s="8">
        <f>H8*SUM(K$3:K8)*B$5</f>
        <v>1859.6545261790286</v>
      </c>
      <c r="M8" s="8">
        <f t="shared" si="0"/>
        <v>31614.126945043485</v>
      </c>
      <c r="N8" s="11">
        <f t="shared" si="1"/>
        <v>3161412694.5043483</v>
      </c>
      <c r="O8" s="11">
        <f t="shared" si="2"/>
        <v>2891245297.0858397</v>
      </c>
      <c r="P8" s="11">
        <f t="shared" si="3"/>
        <v>243614742.92945275</v>
      </c>
      <c r="Q8" s="11">
        <f t="shared" si="4"/>
        <v>198180750.33597738</v>
      </c>
      <c r="R8" s="11">
        <f t="shared" si="5"/>
        <v>745199999.99999988</v>
      </c>
      <c r="S8" s="12">
        <f t="shared" si="6"/>
        <v>606220680.13813734</v>
      </c>
    </row>
    <row r="9" spans="1:19" x14ac:dyDescent="0.2">
      <c r="A9" t="s">
        <v>15</v>
      </c>
      <c r="B9" s="1">
        <f>18000</f>
        <v>18000</v>
      </c>
      <c r="D9" s="13" t="s">
        <v>39</v>
      </c>
      <c r="E9" s="22">
        <f>E7+E8</f>
        <v>31968621040.950756</v>
      </c>
      <c r="F9" s="8"/>
      <c r="G9" s="8">
        <v>7</v>
      </c>
      <c r="H9" s="8">
        <f t="shared" si="7"/>
        <v>31933.461560649979</v>
      </c>
      <c r="I9" s="8"/>
      <c r="J9" s="8">
        <v>7</v>
      </c>
      <c r="K9" s="8">
        <f t="shared" ref="K9:K32" si="8">K8*$B$15</f>
        <v>4.802E-2</v>
      </c>
      <c r="L9" s="8">
        <f>H9*SUM(K$3:K9)*B$5</f>
        <v>2816.9145111880562</v>
      </c>
      <c r="M9" s="8">
        <f t="shared" si="0"/>
        <v>47887.546690196956</v>
      </c>
      <c r="N9" s="11">
        <f t="shared" si="1"/>
        <v>4788754669.0196953</v>
      </c>
      <c r="O9" s="11">
        <f t="shared" si="2"/>
        <v>4314796250.6753387</v>
      </c>
      <c r="P9" s="11">
        <f t="shared" si="3"/>
        <v>369015800.96563536</v>
      </c>
      <c r="Q9" s="11">
        <f t="shared" si="4"/>
        <v>290043083.90848875</v>
      </c>
      <c r="R9" s="11">
        <f t="shared" si="5"/>
        <v>869400000</v>
      </c>
      <c r="S9" s="12">
        <f t="shared" si="6"/>
        <v>683340541.21851242</v>
      </c>
    </row>
    <row r="10" spans="1:19" x14ac:dyDescent="0.2">
      <c r="A10" t="s">
        <v>4</v>
      </c>
      <c r="B10" s="2">
        <v>1.02</v>
      </c>
      <c r="D10" s="17"/>
      <c r="E10" s="24"/>
      <c r="F10" s="8"/>
      <c r="G10" s="8">
        <v>8</v>
      </c>
      <c r="H10" s="8">
        <f t="shared" si="7"/>
        <v>32572.130791862983</v>
      </c>
      <c r="I10" s="8"/>
      <c r="J10" s="8">
        <v>8</v>
      </c>
      <c r="K10" s="8">
        <f t="shared" si="8"/>
        <v>4.70596E-2</v>
      </c>
      <c r="L10" s="8">
        <f>H10*SUM(K$3:K10)*B$5</f>
        <v>3792.9516691394706</v>
      </c>
      <c r="M10" s="8">
        <f t="shared" si="0"/>
        <v>64480.178375370997</v>
      </c>
      <c r="N10" s="11">
        <f t="shared" si="1"/>
        <v>6448017837.5370998</v>
      </c>
      <c r="O10" s="11">
        <f t="shared" si="2"/>
        <v>5723977160.8488703</v>
      </c>
      <c r="P10" s="11">
        <f t="shared" si="3"/>
        <v>496876668.65727067</v>
      </c>
      <c r="Q10" s="11">
        <f t="shared" si="4"/>
        <v>377333884.19256413</v>
      </c>
      <c r="R10" s="11">
        <f t="shared" si="5"/>
        <v>993600000</v>
      </c>
      <c r="S10" s="12">
        <f t="shared" si="6"/>
        <v>754551322.25646639</v>
      </c>
    </row>
    <row r="11" spans="1:19" x14ac:dyDescent="0.2">
      <c r="A11" t="s">
        <v>5</v>
      </c>
      <c r="B11" s="2">
        <v>1.02</v>
      </c>
      <c r="D11" s="42" t="s">
        <v>29</v>
      </c>
      <c r="E11" s="22"/>
      <c r="F11" s="8"/>
      <c r="G11" s="8">
        <v>9</v>
      </c>
      <c r="H11" s="8">
        <f t="shared" si="7"/>
        <v>33223.573407700242</v>
      </c>
      <c r="I11" s="8"/>
      <c r="J11" s="8">
        <v>9</v>
      </c>
      <c r="K11" s="8">
        <f t="shared" si="8"/>
        <v>4.6118408E-2</v>
      </c>
      <c r="L11" s="8">
        <f>H11*SUM(K$3:K11)*B$5</f>
        <v>4788.1416907028224</v>
      </c>
      <c r="M11" s="8">
        <f t="shared" si="0"/>
        <v>81398.408741947977</v>
      </c>
      <c r="N11" s="11">
        <f t="shared" si="1"/>
        <v>8139840874.1947975</v>
      </c>
      <c r="O11" s="11">
        <f t="shared" si="2"/>
        <v>7119041665.0174141</v>
      </c>
      <c r="P11" s="11">
        <f t="shared" si="3"/>
        <v>627246561.48206973</v>
      </c>
      <c r="Q11" s="11">
        <f t="shared" si="4"/>
        <v>460230229.35883152</v>
      </c>
      <c r="R11" s="11">
        <f t="shared" si="5"/>
        <v>1117799999.9999998</v>
      </c>
      <c r="S11" s="12">
        <f t="shared" si="6"/>
        <v>820164480.71355033</v>
      </c>
    </row>
    <row r="12" spans="1:19" x14ac:dyDescent="0.2">
      <c r="A12" t="s">
        <v>6</v>
      </c>
      <c r="B12" s="2">
        <v>0.73</v>
      </c>
      <c r="D12" s="42" t="s">
        <v>13</v>
      </c>
      <c r="E12" s="43" t="s">
        <v>1</v>
      </c>
      <c r="F12" s="8"/>
      <c r="G12" s="8">
        <v>10</v>
      </c>
      <c r="H12" s="8">
        <f t="shared" si="7"/>
        <v>33888.044875854248</v>
      </c>
      <c r="I12" s="8"/>
      <c r="J12" s="8">
        <v>10</v>
      </c>
      <c r="K12" s="8">
        <f t="shared" si="8"/>
        <v>4.519603984E-2</v>
      </c>
      <c r="L12" s="8">
        <f>H12*SUM(K$3:K12)*B$5</f>
        <v>5802.8677803021683</v>
      </c>
      <c r="M12" s="8">
        <f t="shared" si="0"/>
        <v>98648.752265136864</v>
      </c>
      <c r="N12" s="11">
        <f t="shared" si="1"/>
        <v>9864875226.5136871</v>
      </c>
      <c r="O12" s="11">
        <f t="shared" si="2"/>
        <v>8500239727.7148056</v>
      </c>
      <c r="P12" s="11">
        <f t="shared" si="3"/>
        <v>760175679.21958399</v>
      </c>
      <c r="Q12" s="11">
        <f t="shared" si="4"/>
        <v>538902840.72336769</v>
      </c>
      <c r="R12" s="11">
        <f t="shared" si="5"/>
        <v>1242000000</v>
      </c>
      <c r="S12" s="12">
        <f t="shared" si="6"/>
        <v>880477166.62753689</v>
      </c>
    </row>
    <row r="13" spans="1:19" x14ac:dyDescent="0.2">
      <c r="A13" t="s">
        <v>7</v>
      </c>
      <c r="B13" s="2">
        <v>4</v>
      </c>
      <c r="D13" s="13" t="s">
        <v>45</v>
      </c>
      <c r="E13" s="22">
        <f>SUM(S3:S12)</f>
        <v>5388499936.3969173</v>
      </c>
      <c r="F13" s="8"/>
      <c r="G13" s="8">
        <v>11</v>
      </c>
      <c r="H13" s="8">
        <f t="shared" si="7"/>
        <v>34565.805773371329</v>
      </c>
      <c r="I13" s="8"/>
      <c r="J13" s="8">
        <v>11</v>
      </c>
      <c r="K13" s="8">
        <f t="shared" si="8"/>
        <v>4.4292119043199997E-2</v>
      </c>
      <c r="L13" s="8">
        <f>H13*SUM(K$3:K13)*B$5</f>
        <v>6837.5208063911869</v>
      </c>
      <c r="M13" s="8">
        <f t="shared" si="0"/>
        <v>116237.85370865017</v>
      </c>
      <c r="N13" s="11">
        <f t="shared" si="1"/>
        <v>11623785370.865017</v>
      </c>
      <c r="O13" s="11">
        <f t="shared" si="2"/>
        <v>9867817697.1882629</v>
      </c>
      <c r="P13" s="11">
        <f t="shared" si="3"/>
        <v>895715225.63724554</v>
      </c>
      <c r="Q13" s="11">
        <f t="shared" si="4"/>
        <v>613516304.52225792</v>
      </c>
      <c r="R13" s="11">
        <f>R$12</f>
        <v>1242000000</v>
      </c>
      <c r="S13" s="12">
        <f t="shared" si="6"/>
        <v>850702576.45172656</v>
      </c>
    </row>
    <row r="14" spans="1:19" x14ac:dyDescent="0.2">
      <c r="A14" t="s">
        <v>46</v>
      </c>
      <c r="B14" s="2">
        <v>0.05</v>
      </c>
      <c r="D14" s="13"/>
      <c r="E14" s="22"/>
      <c r="F14" s="8"/>
      <c r="G14" s="8">
        <v>12</v>
      </c>
      <c r="H14" s="8">
        <f t="shared" si="7"/>
        <v>35257.121888838759</v>
      </c>
      <c r="I14" s="8"/>
      <c r="J14" s="8">
        <v>12</v>
      </c>
      <c r="K14" s="8">
        <f t="shared" si="8"/>
        <v>4.3406276662335999E-2</v>
      </c>
      <c r="L14" s="8">
        <f>H14*SUM(K$3:K14)*B$5</f>
        <v>7892.4994547337928</v>
      </c>
      <c r="M14" s="8">
        <f t="shared" si="0"/>
        <v>134172.49073047447</v>
      </c>
      <c r="N14" s="11">
        <f t="shared" si="1"/>
        <v>13417249073.047447</v>
      </c>
      <c r="O14" s="11">
        <f t="shared" si="2"/>
        <v>11222018361.13455</v>
      </c>
      <c r="P14" s="11">
        <f t="shared" si="3"/>
        <v>1033917428.5701269</v>
      </c>
      <c r="Q14" s="11">
        <f t="shared" si="4"/>
        <v>684229286.03775346</v>
      </c>
      <c r="R14" s="11">
        <f t="shared" ref="R14:R32" si="9">R$12</f>
        <v>1242000000</v>
      </c>
      <c r="S14" s="12">
        <f t="shared" si="6"/>
        <v>821934856.47509813</v>
      </c>
    </row>
    <row r="15" spans="1:19" x14ac:dyDescent="0.2">
      <c r="A15" t="s">
        <v>8</v>
      </c>
      <c r="B15" s="2">
        <v>0.98</v>
      </c>
      <c r="D15" s="45" t="s">
        <v>32</v>
      </c>
      <c r="E15" s="25">
        <f>E9-E13</f>
        <v>26580121104.553841</v>
      </c>
      <c r="F15" s="8"/>
      <c r="G15" s="8">
        <v>13</v>
      </c>
      <c r="H15" s="8">
        <f t="shared" si="7"/>
        <v>35962.264326615528</v>
      </c>
      <c r="I15" s="8"/>
      <c r="J15" s="8">
        <v>13</v>
      </c>
      <c r="K15" s="8">
        <f t="shared" si="8"/>
        <v>4.2538151129089277E-2</v>
      </c>
      <c r="L15" s="8">
        <f>H15*SUM(K$3:K15)*B$5</f>
        <v>8968.210384750364</v>
      </c>
      <c r="M15" s="8">
        <f t="shared" si="0"/>
        <v>152459.57654075618</v>
      </c>
      <c r="N15" s="11">
        <f t="shared" si="1"/>
        <v>15245957654.075619</v>
      </c>
      <c r="O15" s="11">
        <f t="shared" si="2"/>
        <v>12563081001.59477</v>
      </c>
      <c r="P15" s="11">
        <f t="shared" si="3"/>
        <v>1174835560.4022977</v>
      </c>
      <c r="Q15" s="11">
        <f t="shared" si="4"/>
        <v>751194736.33854079</v>
      </c>
      <c r="R15" s="11">
        <f t="shared" si="9"/>
        <v>1242000000</v>
      </c>
      <c r="S15" s="12">
        <f t="shared" si="6"/>
        <v>794139957.94695473</v>
      </c>
    </row>
    <row r="16" spans="1:19" ht="16" thickBot="1" x14ac:dyDescent="0.25">
      <c r="A16" t="s">
        <v>9</v>
      </c>
      <c r="B16" s="1">
        <v>131000</v>
      </c>
      <c r="C16" s="4"/>
      <c r="D16" s="46" t="s">
        <v>33</v>
      </c>
      <c r="E16" s="26">
        <f>E9/E13</f>
        <v>5.9327496368733268</v>
      </c>
      <c r="F16" s="8"/>
      <c r="G16" s="8">
        <v>14</v>
      </c>
      <c r="H16" s="8">
        <f t="shared" si="7"/>
        <v>36681.509613147842</v>
      </c>
      <c r="I16" s="8"/>
      <c r="J16" s="8">
        <v>14</v>
      </c>
      <c r="K16" s="8">
        <f t="shared" si="8"/>
        <v>4.1687388106507489E-2</v>
      </c>
      <c r="L16" s="8">
        <f>H16*SUM(K$3:K16)*B$5</f>
        <v>10065.068388990901</v>
      </c>
      <c r="M16" s="8">
        <f t="shared" si="0"/>
        <v>171106.16261284534</v>
      </c>
      <c r="N16" s="11">
        <f t="shared" si="1"/>
        <v>17110616261.284534</v>
      </c>
      <c r="O16" s="11">
        <f t="shared" si="2"/>
        <v>13891241449.020573</v>
      </c>
      <c r="P16" s="11">
        <f t="shared" si="3"/>
        <v>1318523958.957808</v>
      </c>
      <c r="Q16" s="11">
        <f t="shared" si="4"/>
        <v>814560091.88764119</v>
      </c>
      <c r="R16" s="11">
        <f t="shared" si="9"/>
        <v>1242000000</v>
      </c>
      <c r="S16" s="12">
        <f t="shared" si="6"/>
        <v>767284983.52362788</v>
      </c>
    </row>
    <row r="17" spans="1:19" ht="16" thickBot="1" x14ac:dyDescent="0.25">
      <c r="A17" t="s">
        <v>10</v>
      </c>
      <c r="B17" s="2">
        <f>1/1.015</f>
        <v>0.98522167487684742</v>
      </c>
      <c r="D17" s="17"/>
      <c r="E17" s="27"/>
      <c r="F17" s="8"/>
      <c r="G17" s="8">
        <v>15</v>
      </c>
      <c r="H17" s="8">
        <f t="shared" si="7"/>
        <v>37415.139805410792</v>
      </c>
      <c r="I17" s="8"/>
      <c r="J17" s="8">
        <v>15</v>
      </c>
      <c r="K17" s="8">
        <f t="shared" si="8"/>
        <v>4.0853640344377336E-2</v>
      </c>
      <c r="L17" s="8">
        <f>H17*SUM(K$3:K17)*B$5</f>
        <v>11183.496555797625</v>
      </c>
      <c r="M17" s="8">
        <f t="shared" si="0"/>
        <v>190119.44144855964</v>
      </c>
      <c r="N17" s="11">
        <f t="shared" si="1"/>
        <v>19011944144.855965</v>
      </c>
      <c r="O17" s="11">
        <f t="shared" si="2"/>
        <v>15206732135.52433</v>
      </c>
      <c r="P17" s="11">
        <f t="shared" si="3"/>
        <v>1465038048.8094888</v>
      </c>
      <c r="Q17" s="11">
        <f t="shared" si="4"/>
        <v>874467467.2627728</v>
      </c>
      <c r="R17" s="11">
        <f t="shared" si="9"/>
        <v>1242000000</v>
      </c>
      <c r="S17" s="12">
        <f t="shared" si="6"/>
        <v>741338148.33200765</v>
      </c>
    </row>
    <row r="18" spans="1:19" x14ac:dyDescent="0.2">
      <c r="A18" t="s">
        <v>11</v>
      </c>
      <c r="B18" s="2">
        <f>1/1.035</f>
        <v>0.96618357487922713</v>
      </c>
      <c r="D18" s="47" t="s">
        <v>43</v>
      </c>
      <c r="E18" s="21">
        <v>30</v>
      </c>
      <c r="F18" s="8"/>
      <c r="G18" s="8">
        <v>16</v>
      </c>
      <c r="H18" s="8">
        <f t="shared" si="7"/>
        <v>38163.442601519018</v>
      </c>
      <c r="I18" s="8"/>
      <c r="J18" s="8">
        <v>16</v>
      </c>
      <c r="K18" s="8">
        <f t="shared" si="8"/>
        <v>4.0036567537489791E-2</v>
      </c>
      <c r="L18" s="8">
        <f>H18*SUM(K$3:K18)*B$5</f>
        <v>12323.926435220879</v>
      </c>
      <c r="M18" s="8">
        <f t="shared" si="0"/>
        <v>209506.74939875494</v>
      </c>
      <c r="N18" s="11">
        <f t="shared" si="1"/>
        <v>20950674939.875492</v>
      </c>
      <c r="O18" s="11">
        <f t="shared" si="2"/>
        <v>16509782147.325808</v>
      </c>
      <c r="P18" s="11">
        <f t="shared" si="3"/>
        <v>1614434363.0139351</v>
      </c>
      <c r="Q18" s="11">
        <f t="shared" si="4"/>
        <v>931053841.22563338</v>
      </c>
      <c r="R18" s="11">
        <f t="shared" si="9"/>
        <v>1242000000</v>
      </c>
      <c r="S18" s="12">
        <f t="shared" si="6"/>
        <v>716268742.3497659</v>
      </c>
    </row>
    <row r="19" spans="1:19" x14ac:dyDescent="0.2">
      <c r="A19" t="s">
        <v>24</v>
      </c>
      <c r="B19" s="2">
        <v>17</v>
      </c>
      <c r="D19" s="42" t="s">
        <v>12</v>
      </c>
      <c r="E19" s="22"/>
      <c r="F19" s="8"/>
      <c r="G19" s="8">
        <v>17</v>
      </c>
      <c r="H19" s="8">
        <f t="shared" si="7"/>
        <v>38926.711453549397</v>
      </c>
      <c r="I19" s="8"/>
      <c r="J19" s="8">
        <v>17</v>
      </c>
      <c r="K19" s="8">
        <f t="shared" si="8"/>
        <v>3.9235836186739995E-2</v>
      </c>
      <c r="L19" s="8">
        <f>H19*SUM(K$3:K19)*B$5</f>
        <v>13486.798208253271</v>
      </c>
      <c r="M19" s="8">
        <f t="shared" si="0"/>
        <v>229275.56954030562</v>
      </c>
      <c r="N19" s="11">
        <f t="shared" si="1"/>
        <v>22927556954.030563</v>
      </c>
      <c r="O19" s="11">
        <f t="shared" si="2"/>
        <v>17800617276.40736</v>
      </c>
      <c r="P19" s="11">
        <f t="shared" si="3"/>
        <v>1766770565.2811785</v>
      </c>
      <c r="Q19" s="11">
        <f t="shared" si="4"/>
        <v>984451236.36843705</v>
      </c>
      <c r="R19" s="11">
        <f t="shared" si="9"/>
        <v>1242000000</v>
      </c>
      <c r="S19" s="12">
        <f t="shared" si="6"/>
        <v>692047094.05774486</v>
      </c>
    </row>
    <row r="20" spans="1:19" x14ac:dyDescent="0.2">
      <c r="A20" t="s">
        <v>25</v>
      </c>
      <c r="B20" s="2">
        <v>37.700000000000003</v>
      </c>
      <c r="D20" s="42" t="s">
        <v>13</v>
      </c>
      <c r="E20" s="43" t="s">
        <v>1</v>
      </c>
      <c r="F20" s="8"/>
      <c r="G20" s="8">
        <v>18</v>
      </c>
      <c r="H20" s="8">
        <f t="shared" si="7"/>
        <v>39705.245682620385</v>
      </c>
      <c r="I20" s="8"/>
      <c r="J20" s="8">
        <v>18</v>
      </c>
      <c r="K20" s="8">
        <f t="shared" si="8"/>
        <v>3.8451119463005196E-2</v>
      </c>
      <c r="L20" s="8">
        <f>H20*SUM(K$3:K20)*B$5</f>
        <v>14672.56085944858</v>
      </c>
      <c r="M20" s="8">
        <f t="shared" si="0"/>
        <v>249433.53461062585</v>
      </c>
      <c r="N20" s="11">
        <f t="shared" si="1"/>
        <v>24943353461.062584</v>
      </c>
      <c r="O20" s="11">
        <f t="shared" si="2"/>
        <v>19079460071.389809</v>
      </c>
      <c r="P20" s="11">
        <f t="shared" si="3"/>
        <v>1922105472.587764</v>
      </c>
      <c r="Q20" s="11">
        <f t="shared" si="4"/>
        <v>1034786892.5582477</v>
      </c>
      <c r="R20" s="11">
        <f t="shared" si="9"/>
        <v>1242000000</v>
      </c>
      <c r="S20" s="12">
        <f t="shared" si="6"/>
        <v>668644535.32149267</v>
      </c>
    </row>
    <row r="21" spans="1:19" x14ac:dyDescent="0.2">
      <c r="A21" t="s">
        <v>48</v>
      </c>
      <c r="B21" s="2">
        <v>141000</v>
      </c>
      <c r="D21" s="13" t="s">
        <v>22</v>
      </c>
      <c r="E21" s="23">
        <f>SUM(L3:L32)</f>
        <v>382957.47857925249</v>
      </c>
      <c r="F21" s="8"/>
      <c r="G21" s="8">
        <v>19</v>
      </c>
      <c r="H21" s="8">
        <f t="shared" si="7"/>
        <v>40499.350596272787</v>
      </c>
      <c r="I21" s="8"/>
      <c r="J21" s="8">
        <v>19</v>
      </c>
      <c r="K21" s="8">
        <f t="shared" si="8"/>
        <v>3.7682097073745091E-2</v>
      </c>
      <c r="L21" s="8">
        <f>H21*SUM(K$3:K21)*B$5</f>
        <v>15881.672352992984</v>
      </c>
      <c r="M21" s="8">
        <f t="shared" si="0"/>
        <v>269988.43000088073</v>
      </c>
      <c r="N21" s="11">
        <f t="shared" si="1"/>
        <v>26998843000.088074</v>
      </c>
      <c r="O21" s="11">
        <f t="shared" si="2"/>
        <v>20346529887.640869</v>
      </c>
      <c r="P21" s="11">
        <f t="shared" si="3"/>
        <v>2080499078.2420809</v>
      </c>
      <c r="Q21" s="11">
        <f t="shared" si="4"/>
        <v>1082183434.392067</v>
      </c>
      <c r="R21" s="11">
        <f t="shared" si="9"/>
        <v>1242000000</v>
      </c>
      <c r="S21" s="12">
        <f t="shared" si="6"/>
        <v>646033367.46037948</v>
      </c>
    </row>
    <row r="22" spans="1:19" x14ac:dyDescent="0.2">
      <c r="A22" t="s">
        <v>50</v>
      </c>
      <c r="B22" s="2">
        <f>B21*B12</f>
        <v>102930</v>
      </c>
      <c r="D22" s="13" t="s">
        <v>23</v>
      </c>
      <c r="E22" s="22">
        <f>E21*B$19</f>
        <v>6510277.1358472928</v>
      </c>
      <c r="G22" s="8">
        <v>20</v>
      </c>
      <c r="H22" s="8">
        <f t="shared" si="7"/>
        <v>41309.33760819825</v>
      </c>
      <c r="I22" s="8"/>
      <c r="J22" s="8">
        <v>20</v>
      </c>
      <c r="K22" s="8">
        <f t="shared" si="8"/>
        <v>3.6928455132270187E-2</v>
      </c>
      <c r="L22" s="8">
        <f>H22*SUM(K$3:K22)*B$5</f>
        <v>17114.599812297736</v>
      </c>
      <c r="M22" s="8">
        <f t="shared" si="0"/>
        <v>290948.19680906151</v>
      </c>
      <c r="N22" s="11">
        <f t="shared" si="1"/>
        <v>29094819680.906151</v>
      </c>
      <c r="O22" s="11">
        <f t="shared" si="2"/>
        <v>21602042936.627644</v>
      </c>
      <c r="P22" s="11">
        <f t="shared" si="3"/>
        <v>2242012575.4110036</v>
      </c>
      <c r="Q22" s="11">
        <f t="shared" si="4"/>
        <v>1126759032.8683584</v>
      </c>
      <c r="R22" s="11">
        <f t="shared" si="9"/>
        <v>1242000000</v>
      </c>
      <c r="S22" s="12">
        <f t="shared" si="6"/>
        <v>624186828.46413481</v>
      </c>
    </row>
    <row r="23" spans="1:19" x14ac:dyDescent="0.2">
      <c r="A23" t="s">
        <v>49</v>
      </c>
      <c r="B23" s="2">
        <f>B7-B22</f>
        <v>824170</v>
      </c>
      <c r="D23" s="13" t="s">
        <v>37</v>
      </c>
      <c r="E23" s="22">
        <f>SUM(O3:O32)</f>
        <v>470771384007.7605</v>
      </c>
      <c r="F23" s="8"/>
      <c r="G23" s="8">
        <v>21</v>
      </c>
      <c r="H23" s="8">
        <f t="shared" si="7"/>
        <v>42135.524360362208</v>
      </c>
      <c r="I23" s="8"/>
      <c r="J23" s="8">
        <v>21</v>
      </c>
      <c r="K23" s="8">
        <f t="shared" si="8"/>
        <v>3.6189886029624779E-2</v>
      </c>
      <c r="L23" s="8">
        <f>H23*SUM(K$3:K23)*B$5</f>
        <v>18371.819703183683</v>
      </c>
      <c r="M23" s="8">
        <f t="shared" si="0"/>
        <v>312320.93495412258</v>
      </c>
      <c r="N23" s="11">
        <f t="shared" si="1"/>
        <v>31232093495.412258</v>
      </c>
      <c r="O23" s="11">
        <f t="shared" si="2"/>
        <v>22846212334.524837</v>
      </c>
      <c r="P23" s="11">
        <f t="shared" si="3"/>
        <v>2406708381.1170626</v>
      </c>
      <c r="Q23" s="11">
        <f t="shared" si="4"/>
        <v>1168627561.4736333</v>
      </c>
      <c r="R23" s="11">
        <f t="shared" si="9"/>
        <v>1242000000</v>
      </c>
      <c r="S23" s="12">
        <f t="shared" si="6"/>
        <v>603079061.31800461</v>
      </c>
    </row>
    <row r="24" spans="1:19" x14ac:dyDescent="0.2">
      <c r="A24" t="s">
        <v>51</v>
      </c>
      <c r="B24" s="2">
        <v>0.25</v>
      </c>
      <c r="D24" s="13" t="s">
        <v>41</v>
      </c>
      <c r="E24" s="22">
        <f>SUM(Q3:Q32)</f>
        <v>24038420866.211502</v>
      </c>
      <c r="F24" s="8"/>
      <c r="G24" s="8">
        <v>22</v>
      </c>
      <c r="H24" s="8">
        <f t="shared" si="7"/>
        <v>42978.23484756946</v>
      </c>
      <c r="I24" s="8"/>
      <c r="J24" s="8">
        <v>22</v>
      </c>
      <c r="K24" s="8">
        <f t="shared" si="8"/>
        <v>3.5466088309032286E-2</v>
      </c>
      <c r="L24" s="8">
        <f>H24*SUM(K$3:K24)*B$5</f>
        <v>19653.818020729494</v>
      </c>
      <c r="M24" s="8">
        <f t="shared" si="0"/>
        <v>334114.90635240136</v>
      </c>
      <c r="N24" s="11">
        <f t="shared" si="1"/>
        <v>33411490635.240135</v>
      </c>
      <c r="O24" s="11">
        <f t="shared" si="2"/>
        <v>24079248150.089947</v>
      </c>
      <c r="P24" s="11">
        <f t="shared" si="3"/>
        <v>2574650160.7155638</v>
      </c>
      <c r="Q24" s="11">
        <f t="shared" si="4"/>
        <v>1207898746.8759227</v>
      </c>
      <c r="R24" s="11">
        <f t="shared" si="9"/>
        <v>1242000000</v>
      </c>
      <c r="S24" s="12">
        <f t="shared" si="6"/>
        <v>582685083.39903843</v>
      </c>
    </row>
    <row r="25" spans="1:19" x14ac:dyDescent="0.2">
      <c r="D25" s="13" t="s">
        <v>39</v>
      </c>
      <c r="E25" s="22">
        <f>E23+E24</f>
        <v>494809804873.97198</v>
      </c>
      <c r="F25" s="8"/>
      <c r="G25" s="8">
        <v>23</v>
      </c>
      <c r="H25" s="8">
        <f t="shared" si="7"/>
        <v>43837.799544520836</v>
      </c>
      <c r="I25" s="8"/>
      <c r="J25" s="8">
        <v>23</v>
      </c>
      <c r="K25" s="8">
        <f t="shared" si="8"/>
        <v>3.475676654285164E-2</v>
      </c>
      <c r="L25" s="8">
        <f>H25*SUM(K$3:K25)*B$5</f>
        <v>20961.090479856823</v>
      </c>
      <c r="M25" s="8">
        <f t="shared" si="0"/>
        <v>356338.53815756598</v>
      </c>
      <c r="N25" s="11">
        <f t="shared" si="1"/>
        <v>35633853815.756599</v>
      </c>
      <c r="O25" s="11">
        <f t="shared" si="2"/>
        <v>25301357451.816475</v>
      </c>
      <c r="P25" s="11">
        <f t="shared" si="3"/>
        <v>2745902852.8612437</v>
      </c>
      <c r="Q25" s="11">
        <f t="shared" si="4"/>
        <v>1244678314.4103801</v>
      </c>
      <c r="R25" s="11">
        <f t="shared" si="9"/>
        <v>1242000000</v>
      </c>
      <c r="S25" s="12">
        <f t="shared" si="6"/>
        <v>562980756.90728354</v>
      </c>
    </row>
    <row r="26" spans="1:19" x14ac:dyDescent="0.2">
      <c r="D26" s="17"/>
      <c r="E26" s="24"/>
      <c r="F26" s="8"/>
      <c r="G26" s="8">
        <v>24</v>
      </c>
      <c r="H26" s="8">
        <f t="shared" si="7"/>
        <v>44714.555535411258</v>
      </c>
      <c r="I26" s="8"/>
      <c r="J26" s="8">
        <v>24</v>
      </c>
      <c r="K26" s="8">
        <f t="shared" si="8"/>
        <v>3.4061631211994604E-2</v>
      </c>
      <c r="L26" s="8">
        <f>H26*SUM(K$3:K26)*B$5</f>
        <v>22294.142709727217</v>
      </c>
      <c r="M26" s="8">
        <f t="shared" si="0"/>
        <v>379000.4260653627</v>
      </c>
      <c r="N26" s="11">
        <f t="shared" si="1"/>
        <v>37900042606.53627</v>
      </c>
      <c r="O26" s="11">
        <f t="shared" si="2"/>
        <v>26512744354.376347</v>
      </c>
      <c r="P26" s="11">
        <f t="shared" si="3"/>
        <v>2920532694.9742656</v>
      </c>
      <c r="Q26" s="11">
        <f t="shared" si="4"/>
        <v>1279068128.5359287</v>
      </c>
      <c r="R26" s="11">
        <f t="shared" si="9"/>
        <v>1242000000</v>
      </c>
      <c r="S26" s="12">
        <f t="shared" si="6"/>
        <v>543942760.29689229</v>
      </c>
    </row>
    <row r="27" spans="1:19" x14ac:dyDescent="0.2">
      <c r="D27" s="42" t="s">
        <v>29</v>
      </c>
      <c r="E27" s="22"/>
      <c r="F27" s="8"/>
      <c r="G27" s="8">
        <v>25</v>
      </c>
      <c r="H27" s="8">
        <f t="shared" si="7"/>
        <v>45608.846646119484</v>
      </c>
      <c r="I27" s="8"/>
      <c r="J27" s="8">
        <v>25</v>
      </c>
      <c r="K27" s="8">
        <f t="shared" si="8"/>
        <v>3.3380398587754712E-2</v>
      </c>
      <c r="L27" s="8">
        <f>H27*SUM(K$3:K27)*B$5</f>
        <v>23653.490452026912</v>
      </c>
      <c r="M27" s="8">
        <f t="shared" si="0"/>
        <v>402109.33768445748</v>
      </c>
      <c r="N27" s="11">
        <f t="shared" si="1"/>
        <v>40210933768.445747</v>
      </c>
      <c r="O27" s="11">
        <f t="shared" si="2"/>
        <v>27713610064.362141</v>
      </c>
      <c r="P27" s="11">
        <f t="shared" si="3"/>
        <v>3098607249.2155256</v>
      </c>
      <c r="Q27" s="11">
        <f t="shared" si="4"/>
        <v>1311166328.4357111</v>
      </c>
      <c r="R27" s="11">
        <f t="shared" si="9"/>
        <v>1242000000</v>
      </c>
      <c r="S27" s="12">
        <f t="shared" si="6"/>
        <v>525548560.67332596</v>
      </c>
    </row>
    <row r="28" spans="1:19" x14ac:dyDescent="0.2">
      <c r="D28" s="42" t="s">
        <v>13</v>
      </c>
      <c r="E28" s="43" t="s">
        <v>1</v>
      </c>
      <c r="F28" s="8"/>
      <c r="G28" s="8">
        <v>26</v>
      </c>
      <c r="H28" s="8">
        <f t="shared" si="7"/>
        <v>46521.023579041874</v>
      </c>
      <c r="I28" s="8"/>
      <c r="J28" s="8">
        <v>26</v>
      </c>
      <c r="K28" s="8">
        <f t="shared" si="8"/>
        <v>3.2712790615999618E-2</v>
      </c>
      <c r="L28" s="8">
        <f>H28*SUM(K$3:K28)*B$5</f>
        <v>25039.659763217358</v>
      </c>
      <c r="M28" s="8">
        <f t="shared" si="0"/>
        <v>425674.21597469511</v>
      </c>
      <c r="N28" s="11">
        <f t="shared" si="1"/>
        <v>42567421597.469513</v>
      </c>
      <c r="O28" s="11">
        <f t="shared" si="2"/>
        <v>28904152925.339882</v>
      </c>
      <c r="P28" s="11">
        <f t="shared" si="3"/>
        <v>3280195428.9814739</v>
      </c>
      <c r="Q28" s="11">
        <f t="shared" si="4"/>
        <v>1341067458.9282026</v>
      </c>
      <c r="R28" s="11">
        <f t="shared" si="9"/>
        <v>1242000000</v>
      </c>
      <c r="S28" s="12">
        <f t="shared" si="6"/>
        <v>507776387.12398642</v>
      </c>
    </row>
    <row r="29" spans="1:19" x14ac:dyDescent="0.2">
      <c r="D29" s="13" t="s">
        <v>45</v>
      </c>
      <c r="E29" s="22">
        <f>SUM(S3:S32)</f>
        <v>17902196526.667728</v>
      </c>
      <c r="F29" s="8"/>
      <c r="G29" s="8">
        <v>27</v>
      </c>
      <c r="H29" s="8">
        <f t="shared" si="7"/>
        <v>47451.444050622704</v>
      </c>
      <c r="I29" s="8"/>
      <c r="J29" s="8">
        <v>27</v>
      </c>
      <c r="K29" s="8">
        <f t="shared" si="8"/>
        <v>3.2058534803679622E-2</v>
      </c>
      <c r="L29" s="8">
        <f>H29*SUM(K$3:K29)*B$5</f>
        <v>26453.18722083075</v>
      </c>
      <c r="M29" s="8">
        <f t="shared" si="0"/>
        <v>449704.18275412277</v>
      </c>
      <c r="N29" s="11">
        <f t="shared" si="1"/>
        <v>44970418275.412277</v>
      </c>
      <c r="O29" s="11">
        <f t="shared" si="2"/>
        <v>30084568462.222855</v>
      </c>
      <c r="P29" s="11">
        <f t="shared" si="3"/>
        <v>3465367525.9288282</v>
      </c>
      <c r="Q29" s="11">
        <f t="shared" si="4"/>
        <v>1368862596.8501232</v>
      </c>
      <c r="R29" s="11">
        <f t="shared" si="9"/>
        <v>1242000000</v>
      </c>
      <c r="S29" s="12">
        <f t="shared" si="6"/>
        <v>490605204.95071155</v>
      </c>
    </row>
    <row r="30" spans="1:19" x14ac:dyDescent="0.2">
      <c r="D30" s="13"/>
      <c r="E30" s="22"/>
      <c r="F30" s="8"/>
      <c r="G30" s="8">
        <v>28</v>
      </c>
      <c r="H30" s="8">
        <f t="shared" si="7"/>
        <v>48400.472931635166</v>
      </c>
      <c r="I30" s="8"/>
      <c r="J30" s="8">
        <v>28</v>
      </c>
      <c r="K30" s="8">
        <f t="shared" si="8"/>
        <v>3.1417364107606031E-2</v>
      </c>
      <c r="L30" s="8">
        <f>H30*SUM(K$3:K30)*B$5</f>
        <v>27894.620133891473</v>
      </c>
      <c r="M30" s="8">
        <f t="shared" si="0"/>
        <v>474208.54227615503</v>
      </c>
      <c r="N30" s="11">
        <f t="shared" si="1"/>
        <v>47420854227.615501</v>
      </c>
      <c r="O30" s="11">
        <f t="shared" si="2"/>
        <v>31255049424.976799</v>
      </c>
      <c r="P30" s="11">
        <f t="shared" si="3"/>
        <v>3654195237.539783</v>
      </c>
      <c r="Q30" s="11">
        <f t="shared" si="4"/>
        <v>1394639473.0667534</v>
      </c>
      <c r="R30" s="11">
        <f t="shared" si="9"/>
        <v>1242000000</v>
      </c>
      <c r="S30" s="12">
        <f t="shared" si="6"/>
        <v>474014690.77363443</v>
      </c>
    </row>
    <row r="31" spans="1:19" x14ac:dyDescent="0.2">
      <c r="D31" s="45" t="s">
        <v>32</v>
      </c>
      <c r="E31" s="25">
        <f>E25-E29</f>
        <v>476907608347.30426</v>
      </c>
      <c r="F31" s="8"/>
      <c r="G31" s="8">
        <v>29</v>
      </c>
      <c r="H31" s="8">
        <f t="shared" si="7"/>
        <v>49368.482390267862</v>
      </c>
      <c r="I31" s="8"/>
      <c r="J31" s="8">
        <v>29</v>
      </c>
      <c r="K31" s="8">
        <f t="shared" si="8"/>
        <v>3.0789016825453909E-2</v>
      </c>
      <c r="L31" s="8">
        <f>H31*SUM(K$3:K31)*B$5</f>
        <v>29364.516757545949</v>
      </c>
      <c r="M31" s="8">
        <f t="shared" si="0"/>
        <v>499196.78487828112</v>
      </c>
      <c r="N31" s="11">
        <f t="shared" si="1"/>
        <v>49919678487.82811</v>
      </c>
      <c r="O31" s="11">
        <f t="shared" si="2"/>
        <v>32415785831.666534</v>
      </c>
      <c r="P31" s="11">
        <f t="shared" si="3"/>
        <v>3846751695.2385192</v>
      </c>
      <c r="Q31" s="11">
        <f t="shared" si="4"/>
        <v>1418482590.2599363</v>
      </c>
      <c r="R31" s="11">
        <f t="shared" si="9"/>
        <v>1242000000</v>
      </c>
      <c r="S31" s="12">
        <f t="shared" si="6"/>
        <v>457985208.47694141</v>
      </c>
    </row>
    <row r="32" spans="1:19" ht="16" thickBot="1" x14ac:dyDescent="0.25">
      <c r="D32" s="48" t="s">
        <v>33</v>
      </c>
      <c r="E32" s="28">
        <f>E25 / E29</f>
        <v>27.639614174544796</v>
      </c>
      <c r="F32" s="14"/>
      <c r="G32" s="14">
        <v>30</v>
      </c>
      <c r="H32" s="14">
        <f t="shared" si="7"/>
        <v>50355.85203807323</v>
      </c>
      <c r="I32" s="14"/>
      <c r="J32" s="14">
        <v>30</v>
      </c>
      <c r="K32" s="14">
        <f t="shared" si="8"/>
        <v>3.0173236488944832E-2</v>
      </c>
      <c r="L32" s="14">
        <f>H32*SUM(K$3:K32)*B$5</f>
        <v>30863.446511985134</v>
      </c>
      <c r="M32" s="14">
        <f t="shared" si="0"/>
        <v>524678.59070374724</v>
      </c>
      <c r="N32" s="15">
        <f t="shared" si="1"/>
        <v>52467859070.374725</v>
      </c>
      <c r="O32" s="15">
        <f t="shared" si="2"/>
        <v>33566965010.85424</v>
      </c>
      <c r="P32" s="15">
        <f t="shared" si="3"/>
        <v>4043111493.0700526</v>
      </c>
      <c r="Q32" s="15">
        <f t="shared" si="4"/>
        <v>1440473336.6388996</v>
      </c>
      <c r="R32" s="15">
        <f t="shared" si="9"/>
        <v>1242000000</v>
      </c>
      <c r="S32" s="16">
        <f t="shared" si="6"/>
        <v>442497785.96805942</v>
      </c>
    </row>
    <row r="34" spans="2:19" ht="16" thickBot="1" x14ac:dyDescent="0.25">
      <c r="D34" s="3"/>
    </row>
    <row r="35" spans="2:19" ht="16" thickBot="1" x14ac:dyDescent="0.25">
      <c r="D35" s="38" t="s">
        <v>34</v>
      </c>
      <c r="E35" s="20"/>
      <c r="F35" s="5"/>
      <c r="G35" s="39" t="s">
        <v>17</v>
      </c>
      <c r="H35" s="6"/>
      <c r="I35" s="5"/>
      <c r="J35" s="39" t="s">
        <v>18</v>
      </c>
      <c r="K35" s="39"/>
      <c r="L35" s="39"/>
      <c r="M35" s="5"/>
      <c r="N35" s="5"/>
      <c r="O35" s="5"/>
      <c r="P35" s="5"/>
      <c r="Q35" s="5"/>
      <c r="R35" s="5"/>
      <c r="S35" s="7"/>
    </row>
    <row r="36" spans="2:19" x14ac:dyDescent="0.2">
      <c r="D36" s="47" t="s">
        <v>43</v>
      </c>
      <c r="E36" s="21">
        <v>10</v>
      </c>
      <c r="F36" s="8"/>
      <c r="G36" s="40" t="s">
        <v>16</v>
      </c>
      <c r="H36" s="40" t="s">
        <v>53</v>
      </c>
      <c r="I36" s="8"/>
      <c r="J36" s="40" t="s">
        <v>16</v>
      </c>
      <c r="K36" s="44" t="s">
        <v>20</v>
      </c>
      <c r="L36" s="44" t="s">
        <v>19</v>
      </c>
      <c r="M36" s="44" t="s">
        <v>26</v>
      </c>
      <c r="N36" s="44" t="s">
        <v>27</v>
      </c>
      <c r="O36" s="44" t="s">
        <v>28</v>
      </c>
      <c r="P36" s="44" t="s">
        <v>38</v>
      </c>
      <c r="Q36" s="44" t="s">
        <v>40</v>
      </c>
      <c r="R36" s="9" t="s">
        <v>30</v>
      </c>
      <c r="S36" s="10" t="s">
        <v>31</v>
      </c>
    </row>
    <row r="37" spans="2:19" x14ac:dyDescent="0.2">
      <c r="D37" s="42" t="s">
        <v>12</v>
      </c>
      <c r="E37" s="22"/>
      <c r="F37" s="8"/>
      <c r="G37" s="8">
        <v>1</v>
      </c>
      <c r="H37" s="8">
        <f>($B$23*($B$10^G37)*(1-$B$24))+($B$22*($B$10^G37))</f>
        <v>735478.65</v>
      </c>
      <c r="I37" s="8"/>
      <c r="J37" s="8">
        <v>1</v>
      </c>
      <c r="K37" s="8">
        <v>0</v>
      </c>
      <c r="L37" s="8">
        <f>H37*SUM(K$37:K37)*B$5</f>
        <v>0</v>
      </c>
      <c r="M37" s="8">
        <f t="shared" ref="M37:M66" si="10">B$20*L37</f>
        <v>0</v>
      </c>
      <c r="N37" s="11">
        <f t="shared" ref="N37:N66" si="11">M37*B$9</f>
        <v>0</v>
      </c>
      <c r="O37" s="11">
        <f t="shared" ref="O37:O66" si="12">N37*(B$17^J37)</f>
        <v>0</v>
      </c>
      <c r="P37" s="11">
        <f t="shared" ref="P37:P66" si="13">B$16*L37</f>
        <v>0</v>
      </c>
      <c r="Q37" s="11">
        <f t="shared" ref="Q37:Q66" si="14">P37*(B$18^J37)</f>
        <v>0</v>
      </c>
      <c r="R37" s="11">
        <f>B$5*J37*(B$3/10)</f>
        <v>270000000</v>
      </c>
      <c r="S37" s="12">
        <f t="shared" ref="S37:S66" si="15">R37*(B$18^J37)</f>
        <v>260869565.21739131</v>
      </c>
    </row>
    <row r="38" spans="2:19" x14ac:dyDescent="0.2">
      <c r="D38" s="42" t="s">
        <v>13</v>
      </c>
      <c r="E38" s="43" t="s">
        <v>1</v>
      </c>
      <c r="F38" s="8"/>
      <c r="G38" s="8">
        <v>2</v>
      </c>
      <c r="H38" s="8">
        <f t="shared" ref="H38:H66" si="16">($B$23*($B$10^G38)*(1-$B$24))+($B$22*($B$10^G38))</f>
        <v>750188.223</v>
      </c>
      <c r="I38" s="8"/>
      <c r="J38" s="8">
        <v>2</v>
      </c>
      <c r="K38" s="8">
        <v>0</v>
      </c>
      <c r="L38" s="8">
        <f>H38*SUM(K$37:K38)*B$5</f>
        <v>0</v>
      </c>
      <c r="M38" s="8">
        <f t="shared" si="10"/>
        <v>0</v>
      </c>
      <c r="N38" s="11">
        <f t="shared" si="11"/>
        <v>0</v>
      </c>
      <c r="O38" s="11">
        <f t="shared" si="12"/>
        <v>0</v>
      </c>
      <c r="P38" s="11">
        <f t="shared" si="13"/>
        <v>0</v>
      </c>
      <c r="Q38" s="11">
        <f t="shared" si="14"/>
        <v>0</v>
      </c>
      <c r="R38" s="11">
        <f t="shared" ref="R38:R46" si="17">B$5*J38*(B$3/10)</f>
        <v>540000000</v>
      </c>
      <c r="S38" s="12">
        <f t="shared" si="15"/>
        <v>504095778.19785762</v>
      </c>
    </row>
    <row r="39" spans="2:19" x14ac:dyDescent="0.2">
      <c r="D39" s="13" t="s">
        <v>22</v>
      </c>
      <c r="E39" s="23">
        <f>SUM(L37:L46)</f>
        <v>518262.24563889764</v>
      </c>
      <c r="F39" s="8"/>
      <c r="G39" s="8">
        <v>3</v>
      </c>
      <c r="H39" s="8">
        <f t="shared" si="16"/>
        <v>765191.98745999997</v>
      </c>
      <c r="I39" s="8"/>
      <c r="J39" s="8">
        <v>3</v>
      </c>
      <c r="K39" s="8">
        <v>0</v>
      </c>
      <c r="L39" s="8">
        <f>H39*SUM(K$37:K39)*B$5</f>
        <v>0</v>
      </c>
      <c r="M39" s="8">
        <f t="shared" si="10"/>
        <v>0</v>
      </c>
      <c r="N39" s="11">
        <f t="shared" si="11"/>
        <v>0</v>
      </c>
      <c r="O39" s="11">
        <f t="shared" si="12"/>
        <v>0</v>
      </c>
      <c r="P39" s="11">
        <f t="shared" si="13"/>
        <v>0</v>
      </c>
      <c r="Q39" s="11">
        <f t="shared" si="14"/>
        <v>0</v>
      </c>
      <c r="R39" s="11">
        <f t="shared" si="17"/>
        <v>809999999.99999988</v>
      </c>
      <c r="S39" s="12">
        <f t="shared" si="15"/>
        <v>730573591.59109807</v>
      </c>
    </row>
    <row r="40" spans="2:19" x14ac:dyDescent="0.2">
      <c r="B40" s="32"/>
      <c r="D40" s="13" t="s">
        <v>23</v>
      </c>
      <c r="E40" s="22">
        <f>E39*B$20</f>
        <v>19538486.660586443</v>
      </c>
      <c r="F40" s="8"/>
      <c r="G40" s="8">
        <v>4</v>
      </c>
      <c r="H40" s="8">
        <f t="shared" si="16"/>
        <v>780495.82720920001</v>
      </c>
      <c r="I40" s="8"/>
      <c r="J40" s="8">
        <v>4</v>
      </c>
      <c r="K40" s="8">
        <v>0</v>
      </c>
      <c r="L40" s="8">
        <f>H40*SUM(K$37:K40)*B$5</f>
        <v>0</v>
      </c>
      <c r="M40" s="8">
        <f t="shared" si="10"/>
        <v>0</v>
      </c>
      <c r="N40" s="11">
        <f t="shared" si="11"/>
        <v>0</v>
      </c>
      <c r="O40" s="11">
        <f t="shared" si="12"/>
        <v>0</v>
      </c>
      <c r="P40" s="11">
        <f t="shared" si="13"/>
        <v>0</v>
      </c>
      <c r="Q40" s="11">
        <f t="shared" si="14"/>
        <v>0</v>
      </c>
      <c r="R40" s="11">
        <f t="shared" si="17"/>
        <v>1080000000</v>
      </c>
      <c r="S40" s="12">
        <f t="shared" si="15"/>
        <v>941157605.91445816</v>
      </c>
    </row>
    <row r="41" spans="2:19" x14ac:dyDescent="0.2">
      <c r="B41" s="32"/>
      <c r="D41" s="13" t="s">
        <v>37</v>
      </c>
      <c r="E41" s="22">
        <f>SUM(O37:O46)</f>
        <v>310631544590.51147</v>
      </c>
      <c r="F41" s="8"/>
      <c r="G41" s="8">
        <v>5</v>
      </c>
      <c r="H41" s="8">
        <f t="shared" si="16"/>
        <v>796105.74375338398</v>
      </c>
      <c r="I41" s="8"/>
      <c r="J41" s="8">
        <v>5</v>
      </c>
      <c r="K41" s="8">
        <f>B$14</f>
        <v>0.05</v>
      </c>
      <c r="L41" s="8">
        <f>H41*SUM(K$37:K41)*B$5</f>
        <v>23883.17231260152</v>
      </c>
      <c r="M41" s="8">
        <f t="shared" si="10"/>
        <v>900395.59618507733</v>
      </c>
      <c r="N41" s="11">
        <f t="shared" si="11"/>
        <v>16207120731.331392</v>
      </c>
      <c r="O41" s="11">
        <f t="shared" si="12"/>
        <v>15044427163.95417</v>
      </c>
      <c r="P41" s="11">
        <f t="shared" si="13"/>
        <v>3128695572.950799</v>
      </c>
      <c r="Q41" s="11">
        <f t="shared" si="14"/>
        <v>2634277719.6936288</v>
      </c>
      <c r="R41" s="11">
        <f t="shared" si="17"/>
        <v>1350000000</v>
      </c>
      <c r="S41" s="12">
        <f t="shared" si="15"/>
        <v>1136663775.2590075</v>
      </c>
    </row>
    <row r="42" spans="2:19" x14ac:dyDescent="0.2">
      <c r="B42" s="32"/>
      <c r="D42" s="19" t="s">
        <v>41</v>
      </c>
      <c r="E42" s="30">
        <f>SUM(Q37:Q46)</f>
        <v>50999359670.870041</v>
      </c>
      <c r="F42" s="8"/>
      <c r="G42" s="8">
        <v>6</v>
      </c>
      <c r="H42" s="8">
        <f t="shared" si="16"/>
        <v>812027.85862845182</v>
      </c>
      <c r="I42" s="8"/>
      <c r="J42" s="8">
        <v>6</v>
      </c>
      <c r="K42" s="8">
        <f t="shared" ref="K42:K65" si="18">K41*$B$15</f>
        <v>4.9000000000000002E-2</v>
      </c>
      <c r="L42" s="8">
        <f>H42*SUM(K$37:K42)*B$5</f>
        <v>48234.454802530039</v>
      </c>
      <c r="M42" s="8">
        <f t="shared" si="10"/>
        <v>1818438.9460553827</v>
      </c>
      <c r="N42" s="11">
        <f t="shared" si="11"/>
        <v>32731901028.996887</v>
      </c>
      <c r="O42" s="11">
        <f t="shared" si="12"/>
        <v>29934704532.336803</v>
      </c>
      <c r="P42" s="11">
        <f t="shared" si="13"/>
        <v>6318713579.1314354</v>
      </c>
      <c r="Q42" s="11">
        <f t="shared" si="14"/>
        <v>5140277567.8195696</v>
      </c>
      <c r="R42" s="11">
        <f t="shared" si="17"/>
        <v>1619999999.9999998</v>
      </c>
      <c r="S42" s="12">
        <f t="shared" si="15"/>
        <v>1317871043.7785594</v>
      </c>
    </row>
    <row r="43" spans="2:19" x14ac:dyDescent="0.2">
      <c r="B43" s="32"/>
      <c r="D43" s="13" t="s">
        <v>39</v>
      </c>
      <c r="E43" s="22">
        <f>E41</f>
        <v>310631544590.51147</v>
      </c>
      <c r="F43" s="8"/>
      <c r="G43" s="8">
        <v>7</v>
      </c>
      <c r="H43" s="8">
        <f t="shared" si="16"/>
        <v>828268.41580102069</v>
      </c>
      <c r="I43" s="8"/>
      <c r="J43" s="8">
        <v>7</v>
      </c>
      <c r="K43" s="8">
        <f t="shared" si="18"/>
        <v>4.802E-2</v>
      </c>
      <c r="L43" s="8">
        <f>H43*SUM(K$37:K43)*B$5</f>
        <v>73063.21349463964</v>
      </c>
      <c r="M43" s="8">
        <f t="shared" si="10"/>
        <v>2754483.1487479145</v>
      </c>
      <c r="N43" s="11">
        <f t="shared" si="11"/>
        <v>49580696677.462463</v>
      </c>
      <c r="O43" s="11">
        <f t="shared" si="12"/>
        <v>44673536005.881866</v>
      </c>
      <c r="P43" s="11">
        <f t="shared" si="13"/>
        <v>9571280967.7977924</v>
      </c>
      <c r="Q43" s="11">
        <f t="shared" si="14"/>
        <v>7522940322.8541422</v>
      </c>
      <c r="R43" s="11">
        <f t="shared" si="17"/>
        <v>1890000000</v>
      </c>
      <c r="S43" s="12">
        <f t="shared" si="15"/>
        <v>1485522915.6924183</v>
      </c>
    </row>
    <row r="44" spans="2:19" x14ac:dyDescent="0.2">
      <c r="B44" s="32"/>
      <c r="D44" s="17"/>
      <c r="E44" s="24"/>
      <c r="F44" s="8"/>
      <c r="G44" s="8">
        <v>8</v>
      </c>
      <c r="H44" s="8">
        <f t="shared" si="16"/>
        <v>844833.78411704104</v>
      </c>
      <c r="I44" s="8"/>
      <c r="J44" s="8">
        <v>8</v>
      </c>
      <c r="K44" s="8">
        <f t="shared" si="18"/>
        <v>4.70596E-2</v>
      </c>
      <c r="L44" s="8">
        <f>H44*SUM(K$37:K44)*B$5</f>
        <v>98379.001732753022</v>
      </c>
      <c r="M44" s="8">
        <f t="shared" si="10"/>
        <v>3708888.3653247892</v>
      </c>
      <c r="N44" s="11">
        <f t="shared" si="11"/>
        <v>66759990575.846207</v>
      </c>
      <c r="O44" s="11">
        <f t="shared" si="12"/>
        <v>59263586259.027756</v>
      </c>
      <c r="P44" s="11">
        <f t="shared" si="13"/>
        <v>12887649226.990646</v>
      </c>
      <c r="Q44" s="11">
        <f t="shared" si="14"/>
        <v>9787029755.4381237</v>
      </c>
      <c r="R44" s="11">
        <f t="shared" si="17"/>
        <v>2160000000</v>
      </c>
      <c r="S44" s="12">
        <f t="shared" si="15"/>
        <v>1640328961.4271009</v>
      </c>
    </row>
    <row r="45" spans="2:19" x14ac:dyDescent="0.2">
      <c r="B45" s="33"/>
      <c r="D45" s="42" t="s">
        <v>29</v>
      </c>
      <c r="E45" s="22"/>
      <c r="F45" s="8"/>
      <c r="G45" s="8">
        <v>9</v>
      </c>
      <c r="H45" s="8">
        <f t="shared" si="16"/>
        <v>861730.45979938179</v>
      </c>
      <c r="I45" s="8"/>
      <c r="J45" s="8">
        <v>9</v>
      </c>
      <c r="K45" s="8">
        <f t="shared" si="18"/>
        <v>4.6118408E-2</v>
      </c>
      <c r="L45" s="8">
        <f>H45*SUM(K$37:K45)*B$5</f>
        <v>124191.56392604134</v>
      </c>
      <c r="M45" s="8">
        <f t="shared" si="10"/>
        <v>4682021.9600117588</v>
      </c>
      <c r="N45" s="11">
        <f t="shared" si="11"/>
        <v>84276395280.211655</v>
      </c>
      <c r="O45" s="11">
        <f t="shared" si="12"/>
        <v>73707481343.933914</v>
      </c>
      <c r="P45" s="11">
        <f t="shared" si="13"/>
        <v>16269094874.311417</v>
      </c>
      <c r="Q45" s="11">
        <f t="shared" si="14"/>
        <v>11937138798.773582</v>
      </c>
      <c r="R45" s="11">
        <f t="shared" si="17"/>
        <v>2429999999.9999995</v>
      </c>
      <c r="S45" s="12">
        <f t="shared" si="15"/>
        <v>1782966262.4207618</v>
      </c>
    </row>
    <row r="46" spans="2:19" x14ac:dyDescent="0.2">
      <c r="B46" s="33"/>
      <c r="D46" s="42" t="s">
        <v>13</v>
      </c>
      <c r="E46" s="43" t="s">
        <v>1</v>
      </c>
      <c r="F46" s="8"/>
      <c r="G46" s="8">
        <v>10</v>
      </c>
      <c r="H46" s="8">
        <f t="shared" si="16"/>
        <v>878965.0689953696</v>
      </c>
      <c r="I46" s="8"/>
      <c r="J46" s="8">
        <v>10</v>
      </c>
      <c r="K46" s="8">
        <f t="shared" si="18"/>
        <v>4.519603984E-2</v>
      </c>
      <c r="L46" s="8">
        <f>H46*SUM(K$37:K46)*B$5</f>
        <v>150510.83937033205</v>
      </c>
      <c r="M46" s="8">
        <f t="shared" si="10"/>
        <v>5674258.6442615185</v>
      </c>
      <c r="N46" s="11">
        <f t="shared" si="11"/>
        <v>102136655596.70734</v>
      </c>
      <c r="O46" s="11">
        <f t="shared" si="12"/>
        <v>88007809285.376968</v>
      </c>
      <c r="P46" s="11">
        <f t="shared" si="13"/>
        <v>19716919957.513496</v>
      </c>
      <c r="Q46" s="11">
        <f t="shared" si="14"/>
        <v>13977695506.290997</v>
      </c>
      <c r="R46" s="11">
        <f t="shared" si="17"/>
        <v>2700000000</v>
      </c>
      <c r="S46" s="12">
        <f t="shared" si="15"/>
        <v>1914080797.0163846</v>
      </c>
    </row>
    <row r="47" spans="2:19" x14ac:dyDescent="0.2">
      <c r="B47" s="33"/>
      <c r="D47" s="13" t="s">
        <v>47</v>
      </c>
      <c r="E47" s="22">
        <f>SUM(S37:S46)</f>
        <v>11714130296.515038</v>
      </c>
      <c r="F47" s="8"/>
      <c r="G47" s="8">
        <v>11</v>
      </c>
      <c r="H47" s="8">
        <f t="shared" si="16"/>
        <v>896544.37037527678</v>
      </c>
      <c r="I47" s="8"/>
      <c r="J47" s="8">
        <v>11</v>
      </c>
      <c r="K47" s="8">
        <f t="shared" si="18"/>
        <v>4.4292119043199997E-2</v>
      </c>
      <c r="L47" s="8">
        <f>H47*SUM(K$37:K47)*B$5</f>
        <v>177346.96614584219</v>
      </c>
      <c r="M47" s="8">
        <f t="shared" si="10"/>
        <v>6685980.6236982513</v>
      </c>
      <c r="N47" s="11">
        <f t="shared" si="11"/>
        <v>120347651226.56853</v>
      </c>
      <c r="O47" s="11">
        <f t="shared" si="12"/>
        <v>102167120666.66431</v>
      </c>
      <c r="P47" s="11">
        <f t="shared" si="13"/>
        <v>23232452565.105328</v>
      </c>
      <c r="Q47" s="11">
        <f t="shared" si="14"/>
        <v>15912968803.886976</v>
      </c>
      <c r="R47" s="11">
        <f>R46</f>
        <v>2700000000</v>
      </c>
      <c r="S47" s="12">
        <f t="shared" si="15"/>
        <v>1849353427.0689707</v>
      </c>
    </row>
    <row r="48" spans="2:19" x14ac:dyDescent="0.2">
      <c r="B48" s="32"/>
      <c r="D48" s="13"/>
      <c r="E48" s="22"/>
      <c r="F48" s="8"/>
      <c r="G48" s="8">
        <v>12</v>
      </c>
      <c r="H48" s="8">
        <f t="shared" si="16"/>
        <v>914475.25778278243</v>
      </c>
      <c r="I48" s="8"/>
      <c r="J48" s="8">
        <v>12</v>
      </c>
      <c r="K48" s="8">
        <f t="shared" si="18"/>
        <v>4.3406276662335999E-2</v>
      </c>
      <c r="L48" s="8">
        <f>H48*SUM(K$37:K48)*B$5</f>
        <v>204710.28509286733</v>
      </c>
      <c r="M48" s="8">
        <f t="shared" si="10"/>
        <v>7717577.7480010986</v>
      </c>
      <c r="N48" s="11">
        <f t="shared" si="11"/>
        <v>138916399464.01978</v>
      </c>
      <c r="O48" s="11">
        <f t="shared" si="12"/>
        <v>116187929206.70251</v>
      </c>
      <c r="P48" s="11">
        <f t="shared" si="13"/>
        <v>26817047347.165619</v>
      </c>
      <c r="Q48" s="11">
        <f t="shared" si="14"/>
        <v>17747074043.783001</v>
      </c>
      <c r="R48" s="11">
        <f t="shared" ref="R48:R66" si="19">R47</f>
        <v>2700000000</v>
      </c>
      <c r="S48" s="12">
        <f t="shared" si="15"/>
        <v>1786814905.3806481</v>
      </c>
    </row>
    <row r="49" spans="1:19" x14ac:dyDescent="0.2">
      <c r="B49" s="32"/>
      <c r="D49" s="45" t="s">
        <v>32</v>
      </c>
      <c r="E49" s="25">
        <f>E43-E47</f>
        <v>298917414293.99646</v>
      </c>
      <c r="F49" s="8"/>
      <c r="G49" s="8">
        <v>13</v>
      </c>
      <c r="H49" s="8">
        <f t="shared" si="16"/>
        <v>932764.7629384381</v>
      </c>
      <c r="I49" s="8"/>
      <c r="J49" s="8">
        <v>13</v>
      </c>
      <c r="K49" s="8">
        <f t="shared" si="18"/>
        <v>4.2538151129089277E-2</v>
      </c>
      <c r="L49" s="8">
        <f>H49*SUM(K$37:K49)*B$5</f>
        <v>232611.34386698334</v>
      </c>
      <c r="M49" s="8">
        <f t="shared" si="10"/>
        <v>8769447.6637852732</v>
      </c>
      <c r="N49" s="11">
        <f t="shared" si="11"/>
        <v>157850057948.13492</v>
      </c>
      <c r="O49" s="11">
        <f t="shared" si="12"/>
        <v>130072712328.35416</v>
      </c>
      <c r="P49" s="11">
        <f t="shared" si="13"/>
        <v>30472086046.574818</v>
      </c>
      <c r="Q49" s="11">
        <f t="shared" si="14"/>
        <v>19483978366.813938</v>
      </c>
      <c r="R49" s="11">
        <f t="shared" si="19"/>
        <v>2700000000</v>
      </c>
      <c r="S49" s="12">
        <f t="shared" si="15"/>
        <v>1726391212.9281623</v>
      </c>
    </row>
    <row r="50" spans="1:19" ht="16" thickBot="1" x14ac:dyDescent="0.25">
      <c r="B50" s="33"/>
      <c r="D50" s="46" t="s">
        <v>33</v>
      </c>
      <c r="E50" s="26">
        <f>E43/E47</f>
        <v>26.517678797112627</v>
      </c>
      <c r="F50" s="8"/>
      <c r="G50" s="8">
        <v>14</v>
      </c>
      <c r="H50" s="8">
        <f t="shared" si="16"/>
        <v>951420.05819720682</v>
      </c>
      <c r="I50" s="8"/>
      <c r="J50" s="8">
        <v>14</v>
      </c>
      <c r="K50" s="8">
        <f t="shared" si="18"/>
        <v>4.1687388106507489E-2</v>
      </c>
      <c r="L50" s="8">
        <f>H50*SUM(K$37:K50)*B$5</f>
        <v>261060.90107535274</v>
      </c>
      <c r="M50" s="8">
        <f t="shared" si="10"/>
        <v>9841995.9705407992</v>
      </c>
      <c r="N50" s="11">
        <f t="shared" si="11"/>
        <v>177155927469.73438</v>
      </c>
      <c r="O50" s="11">
        <f t="shared" si="12"/>
        <v>143823911718.21591</v>
      </c>
      <c r="P50" s="11">
        <f t="shared" si="13"/>
        <v>34198978040.871208</v>
      </c>
      <c r="Q50" s="11">
        <f t="shared" si="14"/>
        <v>21127505879.722042</v>
      </c>
      <c r="R50" s="11">
        <f t="shared" si="19"/>
        <v>2700000000</v>
      </c>
      <c r="S50" s="12">
        <f t="shared" si="15"/>
        <v>1668010833.7470171</v>
      </c>
    </row>
    <row r="51" spans="1:19" ht="16" thickBot="1" x14ac:dyDescent="0.25">
      <c r="B51" s="33"/>
      <c r="D51" s="17"/>
      <c r="E51" s="27"/>
      <c r="F51" s="8"/>
      <c r="G51" s="8">
        <v>15</v>
      </c>
      <c r="H51" s="8">
        <f t="shared" si="16"/>
        <v>970448.45936115086</v>
      </c>
      <c r="I51" s="8"/>
      <c r="J51" s="8">
        <v>15</v>
      </c>
      <c r="K51" s="8">
        <f t="shared" si="18"/>
        <v>4.0853640344377336E-2</v>
      </c>
      <c r="L51" s="8">
        <f>H51*SUM(K$37:K51)*B$5</f>
        <v>290069.93049575709</v>
      </c>
      <c r="M51" s="8">
        <f t="shared" si="10"/>
        <v>10935636.379690044</v>
      </c>
      <c r="N51" s="11">
        <f t="shared" si="11"/>
        <v>196841454834.42078</v>
      </c>
      <c r="O51" s="11">
        <f t="shared" si="12"/>
        <v>157443933877.94824</v>
      </c>
      <c r="P51" s="11">
        <f t="shared" si="13"/>
        <v>37999160894.944176</v>
      </c>
      <c r="Q51" s="11">
        <f t="shared" si="14"/>
        <v>22681342653.806721</v>
      </c>
      <c r="R51" s="11">
        <f t="shared" si="19"/>
        <v>2700000000</v>
      </c>
      <c r="S51" s="12">
        <f t="shared" si="15"/>
        <v>1611604670.286973</v>
      </c>
    </row>
    <row r="52" spans="1:19" x14ac:dyDescent="0.2">
      <c r="B52" s="32"/>
      <c r="D52" s="47" t="s">
        <v>43</v>
      </c>
      <c r="E52" s="21">
        <v>30</v>
      </c>
      <c r="F52" s="8"/>
      <c r="G52" s="8">
        <v>16</v>
      </c>
      <c r="H52" s="8">
        <f t="shared" si="16"/>
        <v>989857.42854837398</v>
      </c>
      <c r="I52" s="8"/>
      <c r="J52" s="8">
        <v>16</v>
      </c>
      <c r="K52" s="8">
        <f t="shared" si="18"/>
        <v>4.0036567537489791E-2</v>
      </c>
      <c r="L52" s="8">
        <f>H52*SUM(K$37:K52)*B$5</f>
        <v>319649.62538000999</v>
      </c>
      <c r="M52" s="8">
        <f t="shared" si="10"/>
        <v>12050790.876826378</v>
      </c>
      <c r="N52" s="11">
        <f t="shared" si="11"/>
        <v>216914235782.87479</v>
      </c>
      <c r="O52" s="11">
        <f t="shared" si="12"/>
        <v>170935150667.28488</v>
      </c>
      <c r="P52" s="11">
        <f t="shared" si="13"/>
        <v>41874100924.781311</v>
      </c>
      <c r="Q52" s="11">
        <f t="shared" si="14"/>
        <v>24149041551.063026</v>
      </c>
      <c r="R52" s="11">
        <f t="shared" si="19"/>
        <v>2700000000</v>
      </c>
      <c r="S52" s="12">
        <f t="shared" si="15"/>
        <v>1557105961.629926</v>
      </c>
    </row>
    <row r="53" spans="1:19" x14ac:dyDescent="0.2">
      <c r="B53" s="31"/>
      <c r="D53" s="42" t="s">
        <v>12</v>
      </c>
      <c r="E53" s="22"/>
      <c r="F53" s="8"/>
      <c r="G53" s="8">
        <v>17</v>
      </c>
      <c r="H53" s="8">
        <f t="shared" si="16"/>
        <v>1009654.5771193416</v>
      </c>
      <c r="I53" s="8"/>
      <c r="J53" s="8">
        <v>17</v>
      </c>
      <c r="K53" s="8">
        <f t="shared" si="18"/>
        <v>3.9235836186739995E-2</v>
      </c>
      <c r="L53" s="8">
        <f>H53*SUM(K$37:K53)*B$5</f>
        <v>349811.40284343826</v>
      </c>
      <c r="M53" s="8">
        <f t="shared" si="10"/>
        <v>13187889.887197623</v>
      </c>
      <c r="N53" s="11">
        <f t="shared" si="11"/>
        <v>237382017969.55722</v>
      </c>
      <c r="O53" s="11">
        <f t="shared" si="12"/>
        <v>184299899838.84915</v>
      </c>
      <c r="P53" s="11">
        <f t="shared" si="13"/>
        <v>45825293772.49041</v>
      </c>
      <c r="Q53" s="11">
        <f t="shared" si="14"/>
        <v>25534026883.731453</v>
      </c>
      <c r="R53" s="11">
        <f t="shared" si="19"/>
        <v>2700000000</v>
      </c>
      <c r="S53" s="12">
        <f t="shared" si="15"/>
        <v>1504450204.4733584</v>
      </c>
    </row>
    <row r="54" spans="1:19" x14ac:dyDescent="0.2">
      <c r="B54" s="31"/>
      <c r="D54" s="42" t="s">
        <v>13</v>
      </c>
      <c r="E54" s="43" t="s">
        <v>1</v>
      </c>
      <c r="F54" s="8"/>
      <c r="G54" s="8">
        <v>18</v>
      </c>
      <c r="H54" s="8">
        <f t="shared" si="16"/>
        <v>1029847.6686617283</v>
      </c>
      <c r="I54" s="8"/>
      <c r="J54" s="8">
        <v>18</v>
      </c>
      <c r="K54" s="8">
        <f t="shared" si="18"/>
        <v>3.8451119463005196E-2</v>
      </c>
      <c r="L54" s="8">
        <f>H54*SUM(K$37:K54)*B$5</f>
        <v>380566.90834215266</v>
      </c>
      <c r="M54" s="8">
        <f t="shared" si="10"/>
        <v>14347372.444499156</v>
      </c>
      <c r="N54" s="11">
        <f t="shared" si="11"/>
        <v>258252704000.9848</v>
      </c>
      <c r="O54" s="11">
        <f t="shared" si="12"/>
        <v>197540485564.90033</v>
      </c>
      <c r="P54" s="11">
        <f t="shared" si="13"/>
        <v>49854264992.821999</v>
      </c>
      <c r="Q54" s="11">
        <f t="shared" si="14"/>
        <v>26839598912.979088</v>
      </c>
      <c r="R54" s="11">
        <f t="shared" si="19"/>
        <v>2700000000</v>
      </c>
      <c r="S54" s="12">
        <f t="shared" si="15"/>
        <v>1453575076.7858536</v>
      </c>
    </row>
    <row r="55" spans="1:19" x14ac:dyDescent="0.2">
      <c r="B55" s="33"/>
      <c r="D55" s="13" t="s">
        <v>22</v>
      </c>
      <c r="E55" s="23">
        <f>SUM(L37:L66)</f>
        <v>9932890.723405011</v>
      </c>
      <c r="F55" s="8"/>
      <c r="G55" s="8">
        <v>19</v>
      </c>
      <c r="H55" s="8">
        <f t="shared" si="16"/>
        <v>1050444.6220349628</v>
      </c>
      <c r="I55" s="8"/>
      <c r="J55" s="8">
        <v>19</v>
      </c>
      <c r="K55" s="8">
        <f t="shared" si="18"/>
        <v>3.7682097073745091E-2</v>
      </c>
      <c r="L55" s="8">
        <f>H55*SUM(K$37:K55)*B$5</f>
        <v>411928.02023986465</v>
      </c>
      <c r="M55" s="8">
        <f t="shared" si="10"/>
        <v>15529686.363042898</v>
      </c>
      <c r="N55" s="11">
        <f t="shared" si="11"/>
        <v>279534354534.77216</v>
      </c>
      <c r="O55" s="11">
        <f t="shared" si="12"/>
        <v>210659178956.1348</v>
      </c>
      <c r="P55" s="11">
        <f t="shared" si="13"/>
        <v>53962570651.422272</v>
      </c>
      <c r="Q55" s="11">
        <f t="shared" si="14"/>
        <v>28068938192.235889</v>
      </c>
      <c r="R55" s="11">
        <f t="shared" si="19"/>
        <v>2700000000</v>
      </c>
      <c r="S55" s="12">
        <f t="shared" si="15"/>
        <v>1404420364.0443034</v>
      </c>
    </row>
    <row r="56" spans="1:19" x14ac:dyDescent="0.2">
      <c r="B56" s="31"/>
      <c r="D56" s="13" t="s">
        <v>23</v>
      </c>
      <c r="E56" s="22">
        <f>E55*B$20</f>
        <v>374469980.27236897</v>
      </c>
      <c r="F56" s="8"/>
      <c r="G56" s="8">
        <v>20</v>
      </c>
      <c r="H56" s="8">
        <f t="shared" si="16"/>
        <v>1071453.5144756623</v>
      </c>
      <c r="I56" s="8"/>
      <c r="J56" s="8">
        <v>20</v>
      </c>
      <c r="K56" s="8">
        <f t="shared" si="18"/>
        <v>3.6928455132270187E-2</v>
      </c>
      <c r="L56" s="8">
        <f>H56*SUM(K$37:K56)*B$5</f>
        <v>443906.8544660387</v>
      </c>
      <c r="M56" s="8">
        <f t="shared" si="10"/>
        <v>16735288.413369659</v>
      </c>
      <c r="N56" s="11">
        <f t="shared" si="11"/>
        <v>301235191440.65387</v>
      </c>
      <c r="O56" s="11">
        <f t="shared" si="12"/>
        <v>223658218572.66052</v>
      </c>
      <c r="P56" s="11">
        <f t="shared" si="13"/>
        <v>58151797935.051071</v>
      </c>
      <c r="Q56" s="11">
        <f t="shared" si="14"/>
        <v>29225109760.520733</v>
      </c>
      <c r="R56" s="11">
        <f t="shared" si="19"/>
        <v>2700000000</v>
      </c>
      <c r="S56" s="12">
        <f t="shared" si="15"/>
        <v>1356927887.9655104</v>
      </c>
    </row>
    <row r="57" spans="1:19" x14ac:dyDescent="0.2">
      <c r="B57" s="34"/>
      <c r="D57" s="13" t="s">
        <v>37</v>
      </c>
      <c r="E57" s="22">
        <f>SUM(O37:O66)</f>
        <v>4874163495140.1953</v>
      </c>
      <c r="F57" s="8"/>
      <c r="G57" s="8">
        <v>21</v>
      </c>
      <c r="H57" s="8">
        <f t="shared" si="16"/>
        <v>1092882.5847651754</v>
      </c>
      <c r="I57" s="8"/>
      <c r="J57" s="8">
        <v>21</v>
      </c>
      <c r="K57" s="8">
        <f t="shared" si="18"/>
        <v>3.6189886029624779E-2</v>
      </c>
      <c r="L57" s="8">
        <f>H57*SUM(K$37:K57)*B$5</f>
        <v>476515.76926720748</v>
      </c>
      <c r="M57" s="8">
        <f t="shared" si="10"/>
        <v>17964644.501373723</v>
      </c>
      <c r="N57" s="11">
        <f t="shared" si="11"/>
        <v>323363601024.72699</v>
      </c>
      <c r="O57" s="11">
        <f t="shared" si="12"/>
        <v>236539810927.26523</v>
      </c>
      <c r="P57" s="11">
        <f t="shared" si="13"/>
        <v>62423565774.004181</v>
      </c>
      <c r="Q57" s="11">
        <f t="shared" si="14"/>
        <v>30311067190.909149</v>
      </c>
      <c r="R57" s="11">
        <f t="shared" si="19"/>
        <v>2700000000</v>
      </c>
      <c r="S57" s="12">
        <f t="shared" si="15"/>
        <v>1311041437.6478362</v>
      </c>
    </row>
    <row r="58" spans="1:19" x14ac:dyDescent="0.2">
      <c r="B58" s="35"/>
      <c r="D58" s="19" t="s">
        <v>41</v>
      </c>
      <c r="E58" s="30">
        <f>SUM(Q37:Q66)</f>
        <v>623492217760.37036</v>
      </c>
      <c r="F58" s="8"/>
      <c r="G58" s="8">
        <v>22</v>
      </c>
      <c r="H58" s="8">
        <f t="shared" si="16"/>
        <v>1114740.2364604787</v>
      </c>
      <c r="I58" s="8"/>
      <c r="J58" s="8">
        <v>22</v>
      </c>
      <c r="K58" s="8">
        <f t="shared" si="18"/>
        <v>3.5466088309032286E-2</v>
      </c>
      <c r="L58" s="8">
        <f>H58*SUM(K$37:K58)*B$5</f>
        <v>509767.37005331489</v>
      </c>
      <c r="M58" s="8">
        <f t="shared" si="10"/>
        <v>19218229.851009972</v>
      </c>
      <c r="N58" s="11">
        <f t="shared" si="11"/>
        <v>345928137318.1795</v>
      </c>
      <c r="O58" s="11">
        <f t="shared" si="12"/>
        <v>249306130981.09586</v>
      </c>
      <c r="P58" s="11">
        <f t="shared" si="13"/>
        <v>66779525476.984253</v>
      </c>
      <c r="Q58" s="11">
        <f t="shared" si="14"/>
        <v>31329656499.118179</v>
      </c>
      <c r="R58" s="11">
        <f t="shared" si="19"/>
        <v>2700000000</v>
      </c>
      <c r="S58" s="12">
        <f t="shared" si="15"/>
        <v>1266706703.0413878</v>
      </c>
    </row>
    <row r="59" spans="1:19" x14ac:dyDescent="0.2">
      <c r="B59" s="32"/>
      <c r="D59" s="13" t="s">
        <v>39</v>
      </c>
      <c r="E59" s="22">
        <f>E57</f>
        <v>4874163495140.1953</v>
      </c>
      <c r="F59" s="8"/>
      <c r="G59" s="8">
        <v>23</v>
      </c>
      <c r="H59" s="8">
        <f t="shared" si="16"/>
        <v>1137035.0411896883</v>
      </c>
      <c r="I59" s="8"/>
      <c r="J59" s="8">
        <v>23</v>
      </c>
      <c r="K59" s="8">
        <f t="shared" si="18"/>
        <v>3.475676654285164E-2</v>
      </c>
      <c r="L59" s="8">
        <f>H59*SUM(K$37:K59)*B$5</f>
        <v>543674.51434098417</v>
      </c>
      <c r="M59" s="8">
        <f t="shared" si="10"/>
        <v>20496529.190655105</v>
      </c>
      <c r="N59" s="11">
        <f t="shared" si="11"/>
        <v>368937525431.79187</v>
      </c>
      <c r="O59" s="11">
        <f t="shared" si="12"/>
        <v>261959322631.86221</v>
      </c>
      <c r="P59" s="11">
        <f t="shared" si="13"/>
        <v>71221361378.66893</v>
      </c>
      <c r="Q59" s="11">
        <f t="shared" si="14"/>
        <v>32283619917.013046</v>
      </c>
      <c r="R59" s="11">
        <f t="shared" si="19"/>
        <v>2700000000</v>
      </c>
      <c r="S59" s="12">
        <f t="shared" si="15"/>
        <v>1223871210.6680076</v>
      </c>
    </row>
    <row r="60" spans="1:19" x14ac:dyDescent="0.2">
      <c r="B60" s="32"/>
      <c r="D60" s="17"/>
      <c r="E60" s="24"/>
      <c r="F60" s="8"/>
      <c r="G60" s="8">
        <v>24</v>
      </c>
      <c r="H60" s="8">
        <f t="shared" si="16"/>
        <v>1159775.7420134821</v>
      </c>
      <c r="I60" s="8"/>
      <c r="J60" s="8">
        <v>24</v>
      </c>
      <c r="K60" s="8">
        <f t="shared" si="18"/>
        <v>3.4061631211994604E-2</v>
      </c>
      <c r="L60" s="8">
        <f>H60*SUM(K$37:K60)*B$5</f>
        <v>578250.31679565227</v>
      </c>
      <c r="M60" s="8">
        <f t="shared" si="10"/>
        <v>21800036.943196092</v>
      </c>
      <c r="N60" s="11">
        <f t="shared" si="11"/>
        <v>392400664977.52966</v>
      </c>
      <c r="O60" s="11">
        <f t="shared" si="12"/>
        <v>274501499194.68185</v>
      </c>
      <c r="P60" s="11">
        <f t="shared" si="13"/>
        <v>75750791500.230453</v>
      </c>
      <c r="Q60" s="11">
        <f t="shared" si="14"/>
        <v>33175599535.676098</v>
      </c>
      <c r="R60" s="11">
        <f t="shared" si="19"/>
        <v>2700000000</v>
      </c>
      <c r="S60" s="12">
        <f t="shared" si="15"/>
        <v>1182484261.5149832</v>
      </c>
    </row>
    <row r="61" spans="1:19" x14ac:dyDescent="0.2">
      <c r="A61" s="31"/>
      <c r="B61" s="31"/>
      <c r="D61" s="42" t="s">
        <v>29</v>
      </c>
      <c r="E61" s="22"/>
      <c r="F61" s="8"/>
      <c r="G61" s="8">
        <v>25</v>
      </c>
      <c r="H61" s="8">
        <f t="shared" si="16"/>
        <v>1182971.2568537516</v>
      </c>
      <c r="I61" s="8"/>
      <c r="J61" s="8">
        <v>25</v>
      </c>
      <c r="K61" s="8">
        <f t="shared" si="18"/>
        <v>3.3380398587754712E-2</v>
      </c>
      <c r="L61" s="8">
        <f>H61*SUM(K$37:K61)*B$5</f>
        <v>613508.15437454649</v>
      </c>
      <c r="M61" s="8">
        <f t="shared" si="10"/>
        <v>23129257.419920404</v>
      </c>
      <c r="N61" s="11">
        <f t="shared" si="11"/>
        <v>416326633558.56726</v>
      </c>
      <c r="O61" s="11">
        <f t="shared" si="12"/>
        <v>286934743875.67517</v>
      </c>
      <c r="P61" s="11">
        <f t="shared" si="13"/>
        <v>80369568223.065582</v>
      </c>
      <c r="Q61" s="11">
        <f t="shared" si="14"/>
        <v>34008140822.519154</v>
      </c>
      <c r="R61" s="11">
        <f t="shared" si="19"/>
        <v>2700000000</v>
      </c>
      <c r="S61" s="12">
        <f t="shared" si="15"/>
        <v>1142496871.0289695</v>
      </c>
    </row>
    <row r="62" spans="1:19" x14ac:dyDescent="0.2">
      <c r="A62" s="31"/>
      <c r="B62" s="31"/>
      <c r="D62" s="42" t="s">
        <v>13</v>
      </c>
      <c r="E62" s="43" t="s">
        <v>1</v>
      </c>
      <c r="F62" s="8"/>
      <c r="G62" s="8">
        <v>26</v>
      </c>
      <c r="H62" s="8">
        <f t="shared" si="16"/>
        <v>1206630.681990827</v>
      </c>
      <c r="I62" s="8"/>
      <c r="J62" s="8">
        <v>26</v>
      </c>
      <c r="K62" s="8">
        <f t="shared" si="18"/>
        <v>3.2712790615999618E-2</v>
      </c>
      <c r="L62" s="8">
        <f>H62*SUM(K$37:K62)*B$5</f>
        <v>649461.67157252168</v>
      </c>
      <c r="M62" s="8">
        <f t="shared" si="10"/>
        <v>24484705.018284068</v>
      </c>
      <c r="N62" s="11">
        <f t="shared" si="11"/>
        <v>440724690329.11322</v>
      </c>
      <c r="O62" s="11">
        <f t="shared" si="12"/>
        <v>299261110238.42297</v>
      </c>
      <c r="P62" s="11">
        <f t="shared" si="13"/>
        <v>85079478976.000336</v>
      </c>
      <c r="Q62" s="11">
        <f t="shared" si="14"/>
        <v>34783696016.766998</v>
      </c>
      <c r="R62" s="11">
        <f t="shared" si="19"/>
        <v>2700000000</v>
      </c>
      <c r="S62" s="12">
        <f t="shared" si="15"/>
        <v>1103861711.1391008</v>
      </c>
    </row>
    <row r="63" spans="1:19" x14ac:dyDescent="0.2">
      <c r="A63" s="31"/>
      <c r="B63" s="33"/>
      <c r="D63" s="13" t="s">
        <v>47</v>
      </c>
      <c r="E63" s="22">
        <f>SUM(S37:S66)</f>
        <v>38917818536.234184</v>
      </c>
      <c r="F63" s="8"/>
      <c r="G63" s="8">
        <v>27</v>
      </c>
      <c r="H63" s="8">
        <f t="shared" si="16"/>
        <v>1230763.2956306431</v>
      </c>
      <c r="I63" s="8"/>
      <c r="J63" s="8">
        <v>27</v>
      </c>
      <c r="K63" s="8">
        <f t="shared" si="18"/>
        <v>3.2058534803679622E-2</v>
      </c>
      <c r="L63" s="8">
        <f>H63*SUM(K$37:K63)*B$5</f>
        <v>686124.78577281174</v>
      </c>
      <c r="M63" s="8">
        <f t="shared" si="10"/>
        <v>25866904.423635006</v>
      </c>
      <c r="N63" s="11">
        <f t="shared" si="11"/>
        <v>465604279625.43011</v>
      </c>
      <c r="O63" s="11">
        <f t="shared" si="12"/>
        <v>311482622663.39325</v>
      </c>
      <c r="P63" s="11">
        <f t="shared" si="13"/>
        <v>89882346936.238342</v>
      </c>
      <c r="Q63" s="11">
        <f t="shared" si="14"/>
        <v>35504627407.49128</v>
      </c>
      <c r="R63" s="11">
        <f t="shared" si="19"/>
        <v>2700000000</v>
      </c>
      <c r="S63" s="12">
        <f t="shared" si="15"/>
        <v>1066533054.2406772</v>
      </c>
    </row>
    <row r="64" spans="1:19" x14ac:dyDescent="0.2">
      <c r="A64" s="31"/>
      <c r="B64" s="31"/>
      <c r="D64" s="13"/>
      <c r="E64" s="22"/>
      <c r="F64" s="8"/>
      <c r="G64" s="8">
        <v>28</v>
      </c>
      <c r="H64" s="8">
        <f t="shared" si="16"/>
        <v>1255378.5615432565</v>
      </c>
      <c r="I64" s="8"/>
      <c r="J64" s="8">
        <v>28</v>
      </c>
      <c r="K64" s="8">
        <f t="shared" si="18"/>
        <v>3.1417364107606031E-2</v>
      </c>
      <c r="L64" s="8">
        <f>H64*SUM(K$37:K64)*B$5</f>
        <v>723511.69270480063</v>
      </c>
      <c r="M64" s="8">
        <f t="shared" si="10"/>
        <v>27276390.814970985</v>
      </c>
      <c r="N64" s="11">
        <f t="shared" si="11"/>
        <v>490975034669.47772</v>
      </c>
      <c r="O64" s="11">
        <f t="shared" si="12"/>
        <v>323601276800.44641</v>
      </c>
      <c r="P64" s="11">
        <f t="shared" si="13"/>
        <v>94780031744.328888</v>
      </c>
      <c r="Q64" s="11">
        <f t="shared" si="14"/>
        <v>36173210498.231331</v>
      </c>
      <c r="R64" s="11">
        <f t="shared" si="19"/>
        <v>2700000000</v>
      </c>
      <c r="S64" s="12">
        <f t="shared" si="15"/>
        <v>1030466719.0731183</v>
      </c>
    </row>
    <row r="65" spans="1:19" x14ac:dyDescent="0.2">
      <c r="A65" s="31"/>
      <c r="B65" s="34"/>
      <c r="D65" s="45" t="s">
        <v>32</v>
      </c>
      <c r="E65" s="25">
        <f>+E59-E63</f>
        <v>4835245676603.9609</v>
      </c>
      <c r="F65" s="8"/>
      <c r="G65" s="8">
        <v>29</v>
      </c>
      <c r="H65" s="8">
        <f t="shared" si="16"/>
        <v>1280486.1327741211</v>
      </c>
      <c r="I65" s="8"/>
      <c r="J65" s="8">
        <v>29</v>
      </c>
      <c r="K65" s="8">
        <f t="shared" si="18"/>
        <v>3.0789016825453909E-2</v>
      </c>
      <c r="L65" s="8">
        <f>H65*SUM(K$37:K65)*B$5</f>
        <v>761636.87201094197</v>
      </c>
      <c r="M65" s="8">
        <f t="shared" si="10"/>
        <v>28713710.074812513</v>
      </c>
      <c r="N65" s="11">
        <f t="shared" si="11"/>
        <v>516846781346.62524</v>
      </c>
      <c r="O65" s="11">
        <f t="shared" si="12"/>
        <v>335619040014.52063</v>
      </c>
      <c r="P65" s="11">
        <f t="shared" si="13"/>
        <v>99774430233.433395</v>
      </c>
      <c r="Q65" s="11">
        <f t="shared" si="14"/>
        <v>36791637062.09906</v>
      </c>
      <c r="R65" s="11">
        <f t="shared" si="19"/>
        <v>2700000000</v>
      </c>
      <c r="S65" s="12">
        <f t="shared" si="15"/>
        <v>995620018.42813349</v>
      </c>
    </row>
    <row r="66" spans="1:19" ht="16" thickBot="1" x14ac:dyDescent="0.25">
      <c r="A66" s="31"/>
      <c r="B66" s="35"/>
      <c r="D66" s="48" t="s">
        <v>33</v>
      </c>
      <c r="E66" s="28">
        <f>E59/ E63</f>
        <v>125.24246420960458</v>
      </c>
      <c r="F66" s="14"/>
      <c r="G66" s="14">
        <v>30</v>
      </c>
      <c r="H66" s="14">
        <f t="shared" si="16"/>
        <v>1306095.8554296037</v>
      </c>
      <c r="I66" s="14"/>
      <c r="J66" s="14">
        <v>30</v>
      </c>
      <c r="K66" s="14">
        <f>K65*$B$15</f>
        <v>3.0173236488944832E-2</v>
      </c>
      <c r="L66" s="14">
        <f>H66*SUM(K$37:K66)*B$5</f>
        <v>800515.09292502573</v>
      </c>
      <c r="M66" s="14">
        <f t="shared" si="10"/>
        <v>30179419.003273472</v>
      </c>
      <c r="N66" s="15">
        <f t="shared" si="11"/>
        <v>543229542058.92249</v>
      </c>
      <c r="O66" s="15">
        <f t="shared" si="12"/>
        <v>347537851824.60645</v>
      </c>
      <c r="P66" s="15">
        <f t="shared" si="13"/>
        <v>104867477173.17838</v>
      </c>
      <c r="Q66" s="15">
        <f t="shared" si="14"/>
        <v>37362018091.133202</v>
      </c>
      <c r="R66" s="15">
        <f t="shared" si="19"/>
        <v>2700000000</v>
      </c>
      <c r="S66" s="16">
        <f t="shared" si="15"/>
        <v>961951708.62621605</v>
      </c>
    </row>
    <row r="67" spans="1:19" x14ac:dyDescent="0.2">
      <c r="G67" s="18"/>
      <c r="H67" s="18"/>
      <c r="J67" s="18"/>
      <c r="K67" s="8"/>
    </row>
    <row r="68" spans="1:19" x14ac:dyDescent="0.2">
      <c r="G68" s="18"/>
      <c r="H68" s="18"/>
      <c r="J68" s="18"/>
      <c r="K68" s="8"/>
    </row>
    <row r="69" spans="1:19" x14ac:dyDescent="0.2">
      <c r="G69" s="18"/>
      <c r="H69" s="18"/>
      <c r="J69" s="18"/>
      <c r="K69" s="8"/>
    </row>
    <row r="70" spans="1:19" x14ac:dyDescent="0.2">
      <c r="G70" s="18"/>
      <c r="H70" s="18"/>
      <c r="J70" s="18"/>
      <c r="K70" s="8"/>
    </row>
    <row r="71" spans="1:19" x14ac:dyDescent="0.2">
      <c r="G71" s="18"/>
      <c r="H71" s="18"/>
      <c r="J71" s="18"/>
      <c r="K71" s="8"/>
    </row>
    <row r="72" spans="1:19" x14ac:dyDescent="0.2">
      <c r="K72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1194-4552-DA44-8D5F-29BF3B56503D}">
  <dimension ref="A1:W72"/>
  <sheetViews>
    <sheetView workbookViewId="0">
      <selection activeCell="B38" sqref="B38"/>
    </sheetView>
  </sheetViews>
  <sheetFormatPr baseColWidth="10" defaultColWidth="8.83203125" defaultRowHeight="15" x14ac:dyDescent="0.2"/>
  <cols>
    <col min="1" max="1" width="58.1640625" style="56" customWidth="1"/>
    <col min="2" max="2" width="26.6640625" style="96" customWidth="1"/>
    <col min="3" max="3" width="26" style="72" customWidth="1"/>
    <col min="4" max="4" width="9" style="72" customWidth="1"/>
    <col min="5" max="5" width="15.33203125" style="72" customWidth="1"/>
    <col min="6" max="6" width="16.1640625" style="72" customWidth="1"/>
    <col min="7" max="7" width="8.83203125" style="56"/>
    <col min="8" max="8" width="39.83203125" style="56" customWidth="1"/>
    <col min="9" max="9" width="20.83203125" style="29" bestFit="1" customWidth="1"/>
    <col min="10" max="10" width="8.6640625" style="56" customWidth="1"/>
    <col min="11" max="11" width="15.33203125" style="56" customWidth="1"/>
    <col min="12" max="12" width="8.5" style="56" customWidth="1"/>
    <col min="13" max="13" width="15.83203125" style="56" bestFit="1" customWidth="1"/>
    <col min="14" max="14" width="8.83203125" style="56"/>
    <col min="15" max="15" width="15.5" style="56" bestFit="1" customWidth="1"/>
    <col min="16" max="16" width="15.5" style="56" customWidth="1"/>
    <col min="17" max="17" width="19.5" style="56" bestFit="1" customWidth="1"/>
    <col min="18" max="18" width="27.33203125" style="56" bestFit="1" customWidth="1"/>
    <col min="19" max="19" width="29.1640625" style="56" bestFit="1" customWidth="1"/>
    <col min="20" max="21" width="29.1640625" style="56" customWidth="1"/>
    <col min="22" max="23" width="17" style="56" bestFit="1" customWidth="1"/>
    <col min="24" max="16384" width="8.83203125" style="56"/>
  </cols>
  <sheetData>
    <row r="1" spans="1:23" ht="16" thickBot="1" x14ac:dyDescent="0.25">
      <c r="A1" s="54" t="s">
        <v>0</v>
      </c>
      <c r="B1" s="93"/>
      <c r="C1" s="55"/>
      <c r="D1" s="55"/>
      <c r="E1" s="55"/>
      <c r="F1" s="55"/>
      <c r="H1" s="38" t="s">
        <v>64</v>
      </c>
      <c r="I1" s="20"/>
      <c r="J1" s="57"/>
      <c r="K1" s="58" t="s">
        <v>17</v>
      </c>
      <c r="L1" s="59"/>
      <c r="M1" s="57"/>
      <c r="N1" s="58" t="s">
        <v>18</v>
      </c>
      <c r="O1" s="58"/>
      <c r="P1" s="58"/>
      <c r="Q1" s="57"/>
      <c r="R1" s="57"/>
      <c r="S1" s="57"/>
      <c r="T1" s="57"/>
      <c r="U1" s="57"/>
      <c r="V1" s="57"/>
      <c r="W1" s="60"/>
    </row>
    <row r="2" spans="1:23" ht="16" x14ac:dyDescent="0.2">
      <c r="A2" s="54" t="s">
        <v>13</v>
      </c>
      <c r="B2" s="94" t="s">
        <v>1</v>
      </c>
      <c r="C2" s="61"/>
      <c r="D2" s="61"/>
      <c r="E2" s="61"/>
      <c r="F2" s="61"/>
      <c r="H2" s="62" t="s">
        <v>43</v>
      </c>
      <c r="I2" s="21">
        <v>10</v>
      </c>
      <c r="J2" s="63"/>
      <c r="K2" s="64" t="s">
        <v>16</v>
      </c>
      <c r="L2" s="64" t="s">
        <v>52</v>
      </c>
      <c r="M2" s="63"/>
      <c r="N2" s="64" t="s">
        <v>16</v>
      </c>
      <c r="O2" s="65" t="s">
        <v>44</v>
      </c>
      <c r="P2" s="65" t="s">
        <v>19</v>
      </c>
      <c r="Q2" s="65" t="s">
        <v>26</v>
      </c>
      <c r="R2" s="65" t="s">
        <v>27</v>
      </c>
      <c r="S2" s="65" t="s">
        <v>28</v>
      </c>
      <c r="T2" s="65" t="s">
        <v>38</v>
      </c>
      <c r="U2" s="65" t="s">
        <v>40</v>
      </c>
      <c r="V2" s="66" t="s">
        <v>30</v>
      </c>
      <c r="W2" s="67" t="s">
        <v>31</v>
      </c>
    </row>
    <row r="3" spans="1:23" x14ac:dyDescent="0.2">
      <c r="A3" s="56" t="s">
        <v>2</v>
      </c>
      <c r="B3" s="95">
        <v>4500000000</v>
      </c>
      <c r="C3" s="68"/>
      <c r="D3" s="68"/>
      <c r="E3" s="68"/>
      <c r="F3" s="68"/>
      <c r="H3" s="69" t="s">
        <v>12</v>
      </c>
      <c r="I3" s="22"/>
      <c r="J3" s="63"/>
      <c r="K3" s="63">
        <v>1</v>
      </c>
      <c r="L3" s="63">
        <f t="shared" ref="L3:L32" si="0">B$6*(B$10^K3)</f>
        <v>19966.5</v>
      </c>
      <c r="M3" s="63"/>
      <c r="N3" s="63">
        <v>1</v>
      </c>
      <c r="O3" s="63">
        <v>0</v>
      </c>
      <c r="P3" s="63">
        <f>L3*SUM(O$3:O3)*B$5</f>
        <v>0</v>
      </c>
      <c r="Q3" s="63">
        <f t="shared" ref="Q3:Q32" si="1">B$19*P3</f>
        <v>0</v>
      </c>
      <c r="R3" s="70">
        <f t="shared" ref="R3:R32" si="2">Q3*B$8</f>
        <v>0</v>
      </c>
      <c r="S3" s="70">
        <f t="shared" ref="S3:S32" si="3">R3*(B$17^N3)</f>
        <v>0</v>
      </c>
      <c r="T3" s="70">
        <f t="shared" ref="T3:T32" si="4">P3*B$16</f>
        <v>0</v>
      </c>
      <c r="U3" s="70">
        <f t="shared" ref="U3:U32" si="5">T3*(B$18^N3)</f>
        <v>0</v>
      </c>
      <c r="V3" s="70">
        <f t="shared" ref="V3:V12" si="6">B$5*N3*(B$3/10)*B$4</f>
        <v>26564429.396534555</v>
      </c>
      <c r="W3" s="71">
        <f t="shared" ref="W3:W32" si="7">V3*(B$18^N3)</f>
        <v>25666115.358970586</v>
      </c>
    </row>
    <row r="4" spans="1:23" x14ac:dyDescent="0.2">
      <c r="A4" s="56" t="s">
        <v>54</v>
      </c>
      <c r="B4" s="96">
        <f>'Fair Share Calculation'!C3</f>
        <v>9.8386775542720573E-2</v>
      </c>
      <c r="H4" s="69" t="s">
        <v>13</v>
      </c>
      <c r="I4" s="43" t="s">
        <v>1</v>
      </c>
      <c r="J4" s="63"/>
      <c r="K4" s="63">
        <v>2</v>
      </c>
      <c r="L4" s="63">
        <f t="shared" si="0"/>
        <v>20365.829999999998</v>
      </c>
      <c r="M4" s="63"/>
      <c r="N4" s="63">
        <v>2</v>
      </c>
      <c r="O4" s="63">
        <v>0</v>
      </c>
      <c r="P4" s="63">
        <f>L4*SUM(O$3:O4)*B$5</f>
        <v>0</v>
      </c>
      <c r="Q4" s="63">
        <f t="shared" si="1"/>
        <v>0</v>
      </c>
      <c r="R4" s="70">
        <f t="shared" si="2"/>
        <v>0</v>
      </c>
      <c r="S4" s="70">
        <f t="shared" si="3"/>
        <v>0</v>
      </c>
      <c r="T4" s="70">
        <f t="shared" si="4"/>
        <v>0</v>
      </c>
      <c r="U4" s="70">
        <f t="shared" si="5"/>
        <v>0</v>
      </c>
      <c r="V4" s="70">
        <f t="shared" si="6"/>
        <v>53128858.793069109</v>
      </c>
      <c r="W4" s="71">
        <f t="shared" si="7"/>
        <v>49596358.181585677</v>
      </c>
    </row>
    <row r="5" spans="1:23" x14ac:dyDescent="0.2">
      <c r="A5" s="56" t="s">
        <v>42</v>
      </c>
      <c r="B5" s="96">
        <v>0.6</v>
      </c>
      <c r="H5" s="73" t="s">
        <v>22</v>
      </c>
      <c r="I5" s="23">
        <f>SUM(P3:P12)</f>
        <v>14069.590092858643</v>
      </c>
      <c r="J5" s="63"/>
      <c r="K5" s="63">
        <v>3</v>
      </c>
      <c r="L5" s="63">
        <f t="shared" si="0"/>
        <v>20773.1466</v>
      </c>
      <c r="M5" s="63"/>
      <c r="N5" s="63">
        <v>3</v>
      </c>
      <c r="O5" s="63">
        <v>0</v>
      </c>
      <c r="P5" s="63">
        <f>L5*SUM(O$3:O5)*B$5</f>
        <v>0</v>
      </c>
      <c r="Q5" s="63">
        <f t="shared" si="1"/>
        <v>0</v>
      </c>
      <c r="R5" s="70">
        <f t="shared" si="2"/>
        <v>0</v>
      </c>
      <c r="S5" s="70">
        <f t="shared" si="3"/>
        <v>0</v>
      </c>
      <c r="T5" s="70">
        <f t="shared" si="4"/>
        <v>0</v>
      </c>
      <c r="U5" s="70">
        <f t="shared" si="5"/>
        <v>0</v>
      </c>
      <c r="V5" s="70">
        <f t="shared" si="6"/>
        <v>79693288.189603657</v>
      </c>
      <c r="W5" s="71">
        <f t="shared" si="7"/>
        <v>71878779.973312572</v>
      </c>
    </row>
    <row r="6" spans="1:23" x14ac:dyDescent="0.2">
      <c r="A6" s="56" t="s">
        <v>55</v>
      </c>
      <c r="B6" s="96">
        <f>SUM(B33:B38)</f>
        <v>19575</v>
      </c>
      <c r="H6" s="73" t="s">
        <v>23</v>
      </c>
      <c r="I6" s="22">
        <f>I5*B$19</f>
        <v>183837.61260897745</v>
      </c>
      <c r="J6" s="63"/>
      <c r="K6" s="63">
        <v>4</v>
      </c>
      <c r="L6" s="63">
        <f t="shared" si="0"/>
        <v>21188.609531999999</v>
      </c>
      <c r="M6" s="63"/>
      <c r="N6" s="63">
        <v>4</v>
      </c>
      <c r="O6" s="63">
        <v>0</v>
      </c>
      <c r="P6" s="63">
        <f>L6*SUM(O$3:O6)*B$5</f>
        <v>0</v>
      </c>
      <c r="Q6" s="63">
        <f t="shared" si="1"/>
        <v>0</v>
      </c>
      <c r="R6" s="70">
        <f t="shared" si="2"/>
        <v>0</v>
      </c>
      <c r="S6" s="70">
        <f t="shared" si="3"/>
        <v>0</v>
      </c>
      <c r="T6" s="70">
        <f t="shared" si="4"/>
        <v>0</v>
      </c>
      <c r="U6" s="70">
        <f t="shared" si="5"/>
        <v>0</v>
      </c>
      <c r="V6" s="70">
        <f t="shared" si="6"/>
        <v>106257717.58613822</v>
      </c>
      <c r="W6" s="71">
        <f t="shared" si="7"/>
        <v>92597462.123430058</v>
      </c>
    </row>
    <row r="7" spans="1:23" x14ac:dyDescent="0.2">
      <c r="A7" s="56" t="s">
        <v>36</v>
      </c>
      <c r="B7" s="96">
        <f>1270000*B12</f>
        <v>927100</v>
      </c>
      <c r="H7" s="73" t="s">
        <v>37</v>
      </c>
      <c r="I7" s="22">
        <f>SUM(S3:S12)</f>
        <v>6197481064.0702305</v>
      </c>
      <c r="J7" s="63"/>
      <c r="K7" s="63">
        <v>5</v>
      </c>
      <c r="L7" s="63">
        <f t="shared" si="0"/>
        <v>21612.381722639999</v>
      </c>
      <c r="M7" s="63"/>
      <c r="N7" s="63">
        <v>5</v>
      </c>
      <c r="O7" s="63">
        <f>B$14</f>
        <v>0.05</v>
      </c>
      <c r="P7" s="63">
        <f>L7*SUM(O$3:O7)*B$5</f>
        <v>648.37145167919994</v>
      </c>
      <c r="Q7" s="63">
        <f t="shared" si="1"/>
        <v>8471.8217783062064</v>
      </c>
      <c r="R7" s="70">
        <f t="shared" si="2"/>
        <v>323351976.27122921</v>
      </c>
      <c r="S7" s="70">
        <f t="shared" si="3"/>
        <v>300154810.71408796</v>
      </c>
      <c r="T7" s="70">
        <f t="shared" si="4"/>
        <v>44784554.91899737</v>
      </c>
      <c r="U7" s="70">
        <f t="shared" si="5"/>
        <v>37707393.531497709</v>
      </c>
      <c r="V7" s="70">
        <f t="shared" si="6"/>
        <v>132822146.98267277</v>
      </c>
      <c r="W7" s="71">
        <f t="shared" si="7"/>
        <v>111832683.72394934</v>
      </c>
    </row>
    <row r="8" spans="1:23" x14ac:dyDescent="0.2">
      <c r="A8" s="56" t="s">
        <v>56</v>
      </c>
      <c r="B8" s="95">
        <f>B30</f>
        <v>38167.938931297707</v>
      </c>
      <c r="C8" s="68"/>
      <c r="D8" s="68"/>
      <c r="E8" s="68"/>
      <c r="F8" s="68"/>
      <c r="H8" s="73" t="s">
        <v>41</v>
      </c>
      <c r="I8" s="22">
        <f>SUM(U3:U12)</f>
        <v>730011460.29035425</v>
      </c>
      <c r="J8" s="63"/>
      <c r="K8" s="63">
        <v>6</v>
      </c>
      <c r="L8" s="63">
        <f t="shared" si="0"/>
        <v>22044.629357092803</v>
      </c>
      <c r="M8" s="63"/>
      <c r="N8" s="63">
        <v>6</v>
      </c>
      <c r="O8" s="63">
        <f>O7*$B$15</f>
        <v>4.9000000000000002E-2</v>
      </c>
      <c r="P8" s="63">
        <f>L8*SUM(O$3:O8)*B$5</f>
        <v>1309.4509838113127</v>
      </c>
      <c r="Q8" s="63">
        <f t="shared" si="1"/>
        <v>17109.691263467223</v>
      </c>
      <c r="R8" s="70">
        <f t="shared" si="2"/>
        <v>653041651.27737486</v>
      </c>
      <c r="S8" s="70">
        <f t="shared" si="3"/>
        <v>597234143.56470191</v>
      </c>
      <c r="T8" s="70">
        <f t="shared" si="4"/>
        <v>90446887.114407122</v>
      </c>
      <c r="U8" s="70">
        <f t="shared" si="5"/>
        <v>73578600.943200782</v>
      </c>
      <c r="V8" s="70">
        <f t="shared" si="6"/>
        <v>159386576.37920731</v>
      </c>
      <c r="W8" s="71">
        <f t="shared" si="7"/>
        <v>129661082.578492</v>
      </c>
    </row>
    <row r="9" spans="1:23" x14ac:dyDescent="0.2">
      <c r="A9" s="56" t="s">
        <v>15</v>
      </c>
      <c r="B9" s="95">
        <f>18000</f>
        <v>18000</v>
      </c>
      <c r="C9" s="68"/>
      <c r="D9" s="68"/>
      <c r="E9" s="68"/>
      <c r="F9" s="68"/>
      <c r="H9" s="73" t="s">
        <v>39</v>
      </c>
      <c r="I9" s="22">
        <f>I7+I8</f>
        <v>6927492524.3605843</v>
      </c>
      <c r="J9" s="63"/>
      <c r="K9" s="63">
        <v>7</v>
      </c>
      <c r="L9" s="63">
        <f t="shared" si="0"/>
        <v>22485.521944234653</v>
      </c>
      <c r="M9" s="63"/>
      <c r="N9" s="63">
        <v>7</v>
      </c>
      <c r="O9" s="63">
        <f t="shared" ref="O9:O32" si="8">O8*$B$15</f>
        <v>4.802E-2</v>
      </c>
      <c r="P9" s="63">
        <f>L9*SUM(O$3:O9)*B$5</f>
        <v>1983.4928617448275</v>
      </c>
      <c r="Q9" s="63">
        <f t="shared" si="1"/>
        <v>25916.930765111611</v>
      </c>
      <c r="R9" s="70">
        <f t="shared" si="2"/>
        <v>989195830.7294507</v>
      </c>
      <c r="S9" s="70">
        <f t="shared" si="3"/>
        <v>891291944.69443321</v>
      </c>
      <c r="T9" s="70">
        <f t="shared" si="4"/>
        <v>137004559.29728621</v>
      </c>
      <c r="U9" s="70">
        <f t="shared" si="5"/>
        <v>107684345.18013726</v>
      </c>
      <c r="V9" s="70">
        <f t="shared" si="6"/>
        <v>185951005.77574188</v>
      </c>
      <c r="W9" s="71">
        <f t="shared" si="7"/>
        <v>146155809.66979778</v>
      </c>
    </row>
    <row r="10" spans="1:23" x14ac:dyDescent="0.2">
      <c r="A10" s="56" t="s">
        <v>4</v>
      </c>
      <c r="B10" s="96">
        <v>1.02</v>
      </c>
      <c r="H10" s="74"/>
      <c r="I10" s="24"/>
      <c r="J10" s="63"/>
      <c r="K10" s="63">
        <v>8</v>
      </c>
      <c r="L10" s="63">
        <f t="shared" si="0"/>
        <v>22935.232383119346</v>
      </c>
      <c r="M10" s="63"/>
      <c r="N10" s="63">
        <v>8</v>
      </c>
      <c r="O10" s="63">
        <f t="shared" si="8"/>
        <v>4.70596E-2</v>
      </c>
      <c r="P10" s="63">
        <f>L10*SUM(O$3:O10)*B$5</f>
        <v>2670.7564360937099</v>
      </c>
      <c r="Q10" s="63">
        <f t="shared" si="1"/>
        <v>34896.929038518341</v>
      </c>
      <c r="R10" s="70">
        <f t="shared" si="2"/>
        <v>1331943856.4319978</v>
      </c>
      <c r="S10" s="70">
        <f t="shared" si="3"/>
        <v>1182381377.6330695</v>
      </c>
      <c r="T10" s="70">
        <f t="shared" si="4"/>
        <v>184475485.43004665</v>
      </c>
      <c r="U10" s="70">
        <f t="shared" si="5"/>
        <v>140092815.47417995</v>
      </c>
      <c r="V10" s="70">
        <f t="shared" si="6"/>
        <v>212515435.17227644</v>
      </c>
      <c r="W10" s="71">
        <f t="shared" si="7"/>
        <v>161386677.34415212</v>
      </c>
    </row>
    <row r="11" spans="1:23" x14ac:dyDescent="0.2">
      <c r="A11" s="56" t="s">
        <v>5</v>
      </c>
      <c r="B11" s="96">
        <v>1.02</v>
      </c>
      <c r="H11" s="69" t="s">
        <v>29</v>
      </c>
      <c r="I11" s="22"/>
      <c r="J11" s="63"/>
      <c r="K11" s="63">
        <v>9</v>
      </c>
      <c r="L11" s="63">
        <f t="shared" si="0"/>
        <v>23393.937030781733</v>
      </c>
      <c r="M11" s="63"/>
      <c r="N11" s="63">
        <v>9</v>
      </c>
      <c r="O11" s="63">
        <f t="shared" si="8"/>
        <v>4.6118408E-2</v>
      </c>
      <c r="P11" s="63">
        <f>L11*SUM(O$3:O11)*B$5</f>
        <v>3371.5062444427244</v>
      </c>
      <c r="Q11" s="63">
        <f t="shared" si="1"/>
        <v>44053.142613529963</v>
      </c>
      <c r="R11" s="70">
        <f t="shared" si="2"/>
        <v>1681417657.0049603</v>
      </c>
      <c r="S11" s="70">
        <f t="shared" si="3"/>
        <v>1470554835.3484695</v>
      </c>
      <c r="T11" s="70">
        <f t="shared" si="4"/>
        <v>232877937.75148359</v>
      </c>
      <c r="U11" s="70">
        <f t="shared" si="5"/>
        <v>170869755.66790846</v>
      </c>
      <c r="V11" s="70">
        <f t="shared" si="6"/>
        <v>239079864.56881094</v>
      </c>
      <c r="W11" s="71">
        <f t="shared" si="7"/>
        <v>175420301.46103489</v>
      </c>
    </row>
    <row r="12" spans="1:23" x14ac:dyDescent="0.2">
      <c r="A12" s="56" t="s">
        <v>77</v>
      </c>
      <c r="B12" s="96">
        <v>0.73</v>
      </c>
      <c r="H12" s="69" t="s">
        <v>13</v>
      </c>
      <c r="I12" s="43" t="s">
        <v>1</v>
      </c>
      <c r="J12" s="63"/>
      <c r="K12" s="63">
        <v>10</v>
      </c>
      <c r="L12" s="63">
        <f t="shared" si="0"/>
        <v>23861.815771397371</v>
      </c>
      <c r="M12" s="63"/>
      <c r="N12" s="63">
        <v>10</v>
      </c>
      <c r="O12" s="63">
        <f t="shared" si="8"/>
        <v>4.519603984E-2</v>
      </c>
      <c r="P12" s="63">
        <f>L12*SUM(O$3:O12)*B$5</f>
        <v>4086.0121150868686</v>
      </c>
      <c r="Q12" s="63">
        <f t="shared" si="1"/>
        <v>53389.097150044116</v>
      </c>
      <c r="R12" s="70">
        <f t="shared" si="2"/>
        <v>2037751799.6200042</v>
      </c>
      <c r="S12" s="70">
        <f t="shared" si="3"/>
        <v>1755863952.1154685</v>
      </c>
      <c r="T12" s="70">
        <f t="shared" si="4"/>
        <v>282230553.94230413</v>
      </c>
      <c r="U12" s="70">
        <f t="shared" si="5"/>
        <v>200078549.49343008</v>
      </c>
      <c r="V12" s="70">
        <f t="shared" si="6"/>
        <v>265644293.96534553</v>
      </c>
      <c r="W12" s="71">
        <f t="shared" si="7"/>
        <v>188320237.7466827</v>
      </c>
    </row>
    <row r="13" spans="1:23" x14ac:dyDescent="0.2">
      <c r="A13" s="56" t="s">
        <v>7</v>
      </c>
      <c r="B13" s="96">
        <v>4</v>
      </c>
      <c r="H13" s="73" t="s">
        <v>66</v>
      </c>
      <c r="I13" s="22">
        <f>SUM(W3:W12)</f>
        <v>1152515508.1614077</v>
      </c>
      <c r="J13" s="63"/>
      <c r="K13" s="63">
        <v>11</v>
      </c>
      <c r="L13" s="63">
        <f t="shared" si="0"/>
        <v>24339.052086825312</v>
      </c>
      <c r="M13" s="63"/>
      <c r="N13" s="63">
        <v>11</v>
      </c>
      <c r="O13" s="63">
        <f t="shared" si="8"/>
        <v>4.4292119043199997E-2</v>
      </c>
      <c r="P13" s="63">
        <f>L13*SUM(O$3:O13)*B$5</f>
        <v>4814.549272845592</v>
      </c>
      <c r="Q13" s="63">
        <f t="shared" si="1"/>
        <v>62908.388820614848</v>
      </c>
      <c r="R13" s="70">
        <f t="shared" si="2"/>
        <v>2401083542.7715588</v>
      </c>
      <c r="S13" s="70">
        <f t="shared" si="3"/>
        <v>2038359615.2055809</v>
      </c>
      <c r="T13" s="70">
        <f t="shared" si="4"/>
        <v>332552344.4339667</v>
      </c>
      <c r="U13" s="70">
        <f t="shared" si="5"/>
        <v>227780302.91065815</v>
      </c>
      <c r="V13" s="70">
        <f>V$12</f>
        <v>265644293.96534553</v>
      </c>
      <c r="W13" s="71">
        <f t="shared" si="7"/>
        <v>181951920.52819586</v>
      </c>
    </row>
    <row r="14" spans="1:23" x14ac:dyDescent="0.2">
      <c r="A14" s="56" t="s">
        <v>46</v>
      </c>
      <c r="B14" s="96">
        <v>0.05</v>
      </c>
      <c r="H14" s="73"/>
      <c r="I14" s="22"/>
      <c r="J14" s="63"/>
      <c r="K14" s="63">
        <v>12</v>
      </c>
      <c r="L14" s="63">
        <f t="shared" si="0"/>
        <v>24825.833128561822</v>
      </c>
      <c r="M14" s="63"/>
      <c r="N14" s="63">
        <v>12</v>
      </c>
      <c r="O14" s="63">
        <f t="shared" si="8"/>
        <v>4.3406276662335999E-2</v>
      </c>
      <c r="P14" s="63">
        <f>L14*SUM(O$3:O14)*B$5</f>
        <v>5557.3984469933093</v>
      </c>
      <c r="Q14" s="63">
        <f t="shared" si="1"/>
        <v>72614.68572070598</v>
      </c>
      <c r="R14" s="70">
        <f t="shared" si="2"/>
        <v>2771552890.1032815</v>
      </c>
      <c r="S14" s="70">
        <f t="shared" si="3"/>
        <v>2318091976.400218</v>
      </c>
      <c r="T14" s="70">
        <f t="shared" si="4"/>
        <v>383862699.86369753</v>
      </c>
      <c r="U14" s="70">
        <f t="shared" si="5"/>
        <v>254033923.60596773</v>
      </c>
      <c r="V14" s="70">
        <f t="shared" ref="V14:V32" si="9">V$12</f>
        <v>265644293.96534553</v>
      </c>
      <c r="W14" s="71">
        <f t="shared" si="7"/>
        <v>175798957.03207332</v>
      </c>
    </row>
    <row r="15" spans="1:23" x14ac:dyDescent="0.2">
      <c r="A15" s="56" t="s">
        <v>8</v>
      </c>
      <c r="B15" s="96">
        <v>0.98</v>
      </c>
      <c r="H15" s="45" t="s">
        <v>32</v>
      </c>
      <c r="I15" s="25">
        <f>I9-I13</f>
        <v>5774977016.1991768</v>
      </c>
      <c r="J15" s="63"/>
      <c r="K15" s="63">
        <v>13</v>
      </c>
      <c r="L15" s="63">
        <f t="shared" si="0"/>
        <v>25322.34979113306</v>
      </c>
      <c r="M15" s="63"/>
      <c r="N15" s="63">
        <v>13</v>
      </c>
      <c r="O15" s="63">
        <f t="shared" si="8"/>
        <v>4.2538151129089277E-2</v>
      </c>
      <c r="P15" s="63">
        <f>L15*SUM(O$3:O15)*B$5</f>
        <v>6314.8459813485042</v>
      </c>
      <c r="Q15" s="63">
        <f t="shared" si="1"/>
        <v>82511.729307149479</v>
      </c>
      <c r="R15" s="70">
        <f t="shared" si="2"/>
        <v>3149302645.3110485</v>
      </c>
      <c r="S15" s="70">
        <f t="shared" si="3"/>
        <v>2595110463.3301082</v>
      </c>
      <c r="T15" s="70">
        <f t="shared" si="4"/>
        <v>436181398.67860651</v>
      </c>
      <c r="U15" s="70">
        <f t="shared" si="5"/>
        <v>278896197.74868959</v>
      </c>
      <c r="V15" s="70">
        <f t="shared" si="9"/>
        <v>265644293.96534553</v>
      </c>
      <c r="W15" s="71">
        <f t="shared" si="7"/>
        <v>169854064.76528823</v>
      </c>
    </row>
    <row r="16" spans="1:23" ht="16" thickBot="1" x14ac:dyDescent="0.25">
      <c r="A16" s="56" t="s">
        <v>9</v>
      </c>
      <c r="B16" s="97">
        <f>B48</f>
        <v>69072.373256118924</v>
      </c>
      <c r="C16" s="68"/>
      <c r="D16" s="68"/>
      <c r="E16" s="68"/>
      <c r="F16" s="68"/>
      <c r="G16" s="76"/>
      <c r="H16" s="46" t="s">
        <v>33</v>
      </c>
      <c r="I16" s="26">
        <f>I9/I13</f>
        <v>6.0107586191286213</v>
      </c>
      <c r="J16" s="63"/>
      <c r="K16" s="63">
        <v>14</v>
      </c>
      <c r="L16" s="63">
        <f t="shared" si="0"/>
        <v>25828.796786955721</v>
      </c>
      <c r="M16" s="63"/>
      <c r="N16" s="63">
        <v>14</v>
      </c>
      <c r="O16" s="63">
        <f t="shared" si="8"/>
        <v>4.1687388106507489E-2</v>
      </c>
      <c r="P16" s="63">
        <f>L16*SUM(O$3:O16)*B$5</f>
        <v>7087.1839465646362</v>
      </c>
      <c r="Q16" s="63">
        <f t="shared" si="1"/>
        <v>92603.33586537301</v>
      </c>
      <c r="R16" s="70">
        <f t="shared" si="2"/>
        <v>3534478468.1440077</v>
      </c>
      <c r="S16" s="70">
        <f t="shared" si="3"/>
        <v>2869463790.6435552</v>
      </c>
      <c r="T16" s="70">
        <f t="shared" si="4"/>
        <v>489528614.89188653</v>
      </c>
      <c r="U16" s="70">
        <f t="shared" si="5"/>
        <v>302421864.09956968</v>
      </c>
      <c r="V16" s="70">
        <f t="shared" si="9"/>
        <v>265644293.96534553</v>
      </c>
      <c r="W16" s="71">
        <f t="shared" si="7"/>
        <v>164110207.50269398</v>
      </c>
    </row>
    <row r="17" spans="1:23" ht="16" thickBot="1" x14ac:dyDescent="0.25">
      <c r="A17" s="56" t="s">
        <v>10</v>
      </c>
      <c r="B17" s="96">
        <f>1/1.015</f>
        <v>0.98522167487684742</v>
      </c>
      <c r="H17" s="74"/>
      <c r="I17" s="27"/>
      <c r="J17" s="63"/>
      <c r="K17" s="63">
        <v>15</v>
      </c>
      <c r="L17" s="63">
        <f t="shared" si="0"/>
        <v>26345.372722694829</v>
      </c>
      <c r="M17" s="63"/>
      <c r="N17" s="63">
        <v>15</v>
      </c>
      <c r="O17" s="63">
        <f t="shared" si="8"/>
        <v>4.0853640344377336E-2</v>
      </c>
      <c r="P17" s="63">
        <f>L17*SUM(O$3:O17)*B$5</f>
        <v>7874.710254666853</v>
      </c>
      <c r="Q17" s="63">
        <f t="shared" si="1"/>
        <v>102893.39800597215</v>
      </c>
      <c r="R17" s="70">
        <f t="shared" si="2"/>
        <v>3927228931.5256543</v>
      </c>
      <c r="S17" s="70">
        <f t="shared" si="3"/>
        <v>3141199971.0061474</v>
      </c>
      <c r="T17" s="70">
        <f t="shared" si="4"/>
        <v>543924925.99413621</v>
      </c>
      <c r="U17" s="70">
        <f t="shared" si="5"/>
        <v>324663685.56209117</v>
      </c>
      <c r="V17" s="70">
        <f t="shared" si="9"/>
        <v>265644293.96534553</v>
      </c>
      <c r="W17" s="71">
        <f t="shared" si="7"/>
        <v>158560586.95912462</v>
      </c>
    </row>
    <row r="18" spans="1:23" x14ac:dyDescent="0.2">
      <c r="A18" s="56" t="s">
        <v>11</v>
      </c>
      <c r="B18" s="96">
        <f>1/1.035</f>
        <v>0.96618357487922713</v>
      </c>
      <c r="C18" s="68"/>
      <c r="H18" s="62" t="s">
        <v>43</v>
      </c>
      <c r="I18" s="21">
        <v>30</v>
      </c>
      <c r="J18" s="63"/>
      <c r="K18" s="63">
        <v>16</v>
      </c>
      <c r="L18" s="63">
        <f t="shared" si="0"/>
        <v>26872.280177148732</v>
      </c>
      <c r="M18" s="63"/>
      <c r="N18" s="63">
        <v>16</v>
      </c>
      <c r="O18" s="63">
        <f t="shared" si="8"/>
        <v>4.0036567537489791E-2</v>
      </c>
      <c r="P18" s="63">
        <f>L18*SUM(O$3:O18)*B$5</f>
        <v>8677.7287758794482</v>
      </c>
      <c r="Q18" s="63">
        <f t="shared" si="1"/>
        <v>113385.886191214</v>
      </c>
      <c r="R18" s="70">
        <f t="shared" si="2"/>
        <v>4327705579.8173275</v>
      </c>
      <c r="S18" s="70">
        <f t="shared" si="3"/>
        <v>3410366325.9344625</v>
      </c>
      <c r="T18" s="70">
        <f t="shared" si="4"/>
        <v>599391321.02290916</v>
      </c>
      <c r="U18" s="70">
        <f t="shared" si="5"/>
        <v>345672518.26444763</v>
      </c>
      <c r="V18" s="70">
        <f t="shared" si="9"/>
        <v>265644293.96534553</v>
      </c>
      <c r="W18" s="71">
        <f t="shared" si="7"/>
        <v>153198634.74311557</v>
      </c>
    </row>
    <row r="19" spans="1:23" x14ac:dyDescent="0.2">
      <c r="A19" s="56" t="s">
        <v>65</v>
      </c>
      <c r="B19" s="98">
        <f>C39/B39</f>
        <v>13.066309067688378</v>
      </c>
      <c r="C19" s="68"/>
      <c r="H19" s="69" t="s">
        <v>12</v>
      </c>
      <c r="I19" s="22"/>
      <c r="J19" s="63"/>
      <c r="K19" s="63">
        <v>17</v>
      </c>
      <c r="L19" s="63">
        <f t="shared" si="0"/>
        <v>27409.725780691708</v>
      </c>
      <c r="M19" s="63"/>
      <c r="N19" s="63">
        <v>17</v>
      </c>
      <c r="O19" s="63">
        <f t="shared" si="8"/>
        <v>3.9235836186739995E-2</v>
      </c>
      <c r="P19" s="63">
        <f>L19*SUM(O$3:O19)*B$5</f>
        <v>9496.549457789848</v>
      </c>
      <c r="Q19" s="63">
        <f t="shared" si="1"/>
        <v>124084.85029207064</v>
      </c>
      <c r="R19" s="70">
        <f t="shared" si="2"/>
        <v>4736062988.2469702</v>
      </c>
      <c r="S19" s="70">
        <f t="shared" si="3"/>
        <v>3677009496.4663062</v>
      </c>
      <c r="T19" s="70">
        <f t="shared" si="4"/>
        <v>655949208.7936542</v>
      </c>
      <c r="U19" s="70">
        <f t="shared" si="5"/>
        <v>365497378.25694472</v>
      </c>
      <c r="V19" s="70">
        <f t="shared" si="9"/>
        <v>265644293.96534553</v>
      </c>
      <c r="W19" s="71">
        <f t="shared" si="7"/>
        <v>148018004.58272037</v>
      </c>
    </row>
    <row r="20" spans="1:23" x14ac:dyDescent="0.2">
      <c r="A20" s="56" t="s">
        <v>25</v>
      </c>
      <c r="B20" s="96">
        <v>37.700000000000003</v>
      </c>
      <c r="H20" s="69" t="s">
        <v>13</v>
      </c>
      <c r="I20" s="43" t="s">
        <v>1</v>
      </c>
      <c r="J20" s="63"/>
      <c r="K20" s="63">
        <v>18</v>
      </c>
      <c r="L20" s="63">
        <f t="shared" si="0"/>
        <v>27957.92029630554</v>
      </c>
      <c r="M20" s="63"/>
      <c r="N20" s="63">
        <v>18</v>
      </c>
      <c r="O20" s="63">
        <f t="shared" si="8"/>
        <v>3.8451119463005196E-2</v>
      </c>
      <c r="P20" s="63">
        <f>L20*SUM(O$3:O20)*B$5</f>
        <v>10331.488446895897</v>
      </c>
      <c r="Q20" s="63">
        <f t="shared" si="1"/>
        <v>134994.42117639357</v>
      </c>
      <c r="R20" s="70">
        <f t="shared" si="2"/>
        <v>5152458823.5264721</v>
      </c>
      <c r="S20" s="70">
        <f t="shared" si="3"/>
        <v>3941175453.6699572</v>
      </c>
      <c r="T20" s="70">
        <f t="shared" si="4"/>
        <v>713620426.29527378</v>
      </c>
      <c r="U20" s="70">
        <f t="shared" si="5"/>
        <v>384185505.90670598</v>
      </c>
      <c r="V20" s="70">
        <f t="shared" si="9"/>
        <v>265644293.96534553</v>
      </c>
      <c r="W20" s="71">
        <f t="shared" si="7"/>
        <v>143012564.8142226</v>
      </c>
    </row>
    <row r="21" spans="1:23" x14ac:dyDescent="0.2">
      <c r="A21" s="56" t="s">
        <v>48</v>
      </c>
      <c r="B21" s="96">
        <v>141000</v>
      </c>
      <c r="H21" s="73" t="s">
        <v>22</v>
      </c>
      <c r="I21" s="23">
        <f>SUM(P3:P32)</f>
        <v>269654.41162549879</v>
      </c>
      <c r="J21" s="63"/>
      <c r="K21" s="63">
        <v>19</v>
      </c>
      <c r="L21" s="63">
        <f t="shared" si="0"/>
        <v>28517.078702231647</v>
      </c>
      <c r="M21" s="63"/>
      <c r="N21" s="63">
        <v>19</v>
      </c>
      <c r="O21" s="63">
        <f t="shared" si="8"/>
        <v>3.7682097073745091E-2</v>
      </c>
      <c r="P21" s="63">
        <f>L21*SUM(O$3:O21)*B$5</f>
        <v>11182.868212584088</v>
      </c>
      <c r="Q21" s="63">
        <f t="shared" si="1"/>
        <v>146118.81232885158</v>
      </c>
      <c r="R21" s="70">
        <f t="shared" si="2"/>
        <v>5577053905.6813574</v>
      </c>
      <c r="S21" s="70">
        <f t="shared" si="3"/>
        <v>4202909508.9948788</v>
      </c>
      <c r="T21" s="70">
        <f t="shared" si="4"/>
        <v>772427247.25359559</v>
      </c>
      <c r="U21" s="70">
        <f t="shared" si="5"/>
        <v>401782428.06875324</v>
      </c>
      <c r="V21" s="70">
        <f t="shared" si="9"/>
        <v>265644293.96534553</v>
      </c>
      <c r="W21" s="71">
        <f t="shared" si="7"/>
        <v>138176391.12485278</v>
      </c>
    </row>
    <row r="22" spans="1:23" x14ac:dyDescent="0.2">
      <c r="A22" s="56" t="s">
        <v>50</v>
      </c>
      <c r="B22" s="96">
        <f>B21*B12</f>
        <v>102930</v>
      </c>
      <c r="H22" s="73" t="s">
        <v>23</v>
      </c>
      <c r="I22" s="22">
        <f>I21*B$19</f>
        <v>3523387.883764429</v>
      </c>
      <c r="K22" s="63">
        <v>20</v>
      </c>
      <c r="L22" s="63">
        <f t="shared" si="0"/>
        <v>29087.420276276283</v>
      </c>
      <c r="M22" s="63"/>
      <c r="N22" s="63">
        <v>20</v>
      </c>
      <c r="O22" s="63">
        <f t="shared" si="8"/>
        <v>3.6928455132270187E-2</v>
      </c>
      <c r="P22" s="63">
        <f>L22*SUM(O$3:O22)*B$5</f>
        <v>12051.017673587345</v>
      </c>
      <c r="Q22" s="63">
        <f t="shared" si="1"/>
        <v>157462.32150326722</v>
      </c>
      <c r="R22" s="70">
        <f t="shared" si="2"/>
        <v>6010012271.1170692</v>
      </c>
      <c r="S22" s="70">
        <f t="shared" si="3"/>
        <v>4462256324.4662962</v>
      </c>
      <c r="T22" s="70">
        <f t="shared" si="4"/>
        <v>832392390.86611104</v>
      </c>
      <c r="U22" s="70">
        <f t="shared" si="5"/>
        <v>418332018.10981983</v>
      </c>
      <c r="V22" s="70">
        <f t="shared" si="9"/>
        <v>265644293.96534553</v>
      </c>
      <c r="W22" s="71">
        <f t="shared" si="7"/>
        <v>133503759.54092054</v>
      </c>
    </row>
    <row r="23" spans="1:23" x14ac:dyDescent="0.2">
      <c r="A23" s="56" t="s">
        <v>49</v>
      </c>
      <c r="B23" s="96">
        <f>B7-B22</f>
        <v>824170</v>
      </c>
      <c r="H23" s="73" t="s">
        <v>37</v>
      </c>
      <c r="I23" s="22">
        <f>SUM(S3:S32)</f>
        <v>97245551813.273422</v>
      </c>
      <c r="J23" s="63"/>
      <c r="K23" s="63">
        <v>21</v>
      </c>
      <c r="L23" s="63">
        <f t="shared" si="0"/>
        <v>29669.168681801806</v>
      </c>
      <c r="M23" s="63"/>
      <c r="N23" s="63">
        <v>21</v>
      </c>
      <c r="O23" s="63">
        <f t="shared" si="8"/>
        <v>3.6189886029624779E-2</v>
      </c>
      <c r="P23" s="63">
        <f>L23*SUM(O$3:O23)*B$5</f>
        <v>12936.272326971963</v>
      </c>
      <c r="Q23" s="63">
        <f t="shared" si="1"/>
        <v>169029.33240799999</v>
      </c>
      <c r="R23" s="70">
        <f t="shared" si="2"/>
        <v>6451501236.9465637</v>
      </c>
      <c r="S23" s="70">
        <f t="shared" si="3"/>
        <v>4719259922.7260122</v>
      </c>
      <c r="T23" s="70">
        <f t="shared" si="4"/>
        <v>893539030.71140957</v>
      </c>
      <c r="U23" s="70">
        <f t="shared" si="5"/>
        <v>433876553.8586446</v>
      </c>
      <c r="V23" s="70">
        <f t="shared" si="9"/>
        <v>265644293.96534553</v>
      </c>
      <c r="W23" s="71">
        <f t="shared" si="7"/>
        <v>128989139.65306334</v>
      </c>
    </row>
    <row r="24" spans="1:23" x14ac:dyDescent="0.2">
      <c r="A24" s="56" t="s">
        <v>51</v>
      </c>
      <c r="B24" s="96">
        <v>0.25</v>
      </c>
      <c r="H24" s="73" t="s">
        <v>41</v>
      </c>
      <c r="I24" s="22">
        <f>SUM(U3:U32)</f>
        <v>8924748610.6555386</v>
      </c>
      <c r="J24" s="63"/>
      <c r="K24" s="63">
        <v>22</v>
      </c>
      <c r="L24" s="63">
        <f t="shared" si="0"/>
        <v>30262.552055437845</v>
      </c>
      <c r="M24" s="63"/>
      <c r="N24" s="63">
        <v>22</v>
      </c>
      <c r="O24" s="63">
        <f t="shared" si="8"/>
        <v>3.5466088309032286E-2</v>
      </c>
      <c r="P24" s="63">
        <f>L24*SUM(O$3:O24)*B$5</f>
        <v>13838.97437970431</v>
      </c>
      <c r="Q24" s="63">
        <f t="shared" si="1"/>
        <v>180824.31642503757</v>
      </c>
      <c r="R24" s="70">
        <f t="shared" si="2"/>
        <v>6901691466.6044874</v>
      </c>
      <c r="S24" s="70">
        <f t="shared" si="3"/>
        <v>4973963696.9218168</v>
      </c>
      <c r="T24" s="70">
        <f t="shared" si="4"/>
        <v>955890803.83680296</v>
      </c>
      <c r="U24" s="70">
        <f t="shared" si="5"/>
        <v>448456773.55396247</v>
      </c>
      <c r="V24" s="70">
        <f t="shared" si="9"/>
        <v>265644293.96534553</v>
      </c>
      <c r="W24" s="71">
        <f t="shared" si="7"/>
        <v>124627188.07059261</v>
      </c>
    </row>
    <row r="25" spans="1:23" x14ac:dyDescent="0.2">
      <c r="A25" s="56" t="s">
        <v>92</v>
      </c>
      <c r="B25" s="111">
        <f>B19*B8</f>
        <v>498714.08655299147</v>
      </c>
      <c r="H25" s="73" t="s">
        <v>39</v>
      </c>
      <c r="I25" s="22">
        <f>I23+I24</f>
        <v>106170300423.92896</v>
      </c>
      <c r="J25" s="63"/>
      <c r="K25" s="63">
        <v>23</v>
      </c>
      <c r="L25" s="63">
        <f t="shared" si="0"/>
        <v>30867.803096546599</v>
      </c>
      <c r="M25" s="63"/>
      <c r="N25" s="63">
        <v>23</v>
      </c>
      <c r="O25" s="63">
        <f t="shared" si="8"/>
        <v>3.475676654285164E-2</v>
      </c>
      <c r="P25" s="63">
        <f>L25*SUM(O$3:O25)*B$5</f>
        <v>14759.472882848826</v>
      </c>
      <c r="Q25" s="63">
        <f t="shared" si="1"/>
        <v>192851.83436346834</v>
      </c>
      <c r="R25" s="70">
        <f t="shared" si="2"/>
        <v>7360757036.7736006</v>
      </c>
      <c r="S25" s="70">
        <f t="shared" si="3"/>
        <v>5226410420.4477549</v>
      </c>
      <c r="T25" s="70">
        <f t="shared" si="4"/>
        <v>1019471820.0276997</v>
      </c>
      <c r="U25" s="70">
        <f t="shared" si="5"/>
        <v>462111929.85896969</v>
      </c>
      <c r="V25" s="70">
        <f t="shared" si="9"/>
        <v>265644293.96534553</v>
      </c>
      <c r="W25" s="71">
        <f t="shared" si="7"/>
        <v>120412742.09719095</v>
      </c>
    </row>
    <row r="26" spans="1:23" x14ac:dyDescent="0.2">
      <c r="A26" s="56" t="s">
        <v>93</v>
      </c>
      <c r="B26" s="95">
        <f>B25*B6</f>
        <v>9762328244.2748089</v>
      </c>
      <c r="H26" s="74"/>
      <c r="I26" s="24"/>
      <c r="J26" s="63"/>
      <c r="K26" s="63">
        <v>24</v>
      </c>
      <c r="L26" s="63">
        <f t="shared" si="0"/>
        <v>31485.159158477531</v>
      </c>
      <c r="M26" s="63"/>
      <c r="N26" s="63">
        <v>24</v>
      </c>
      <c r="O26" s="63">
        <f t="shared" si="8"/>
        <v>3.4061631211994604E-2</v>
      </c>
      <c r="P26" s="63">
        <f>L26*SUM(O$3:O26)*B$5</f>
        <v>15698.123868450011</v>
      </c>
      <c r="Q26" s="63">
        <f t="shared" si="1"/>
        <v>205116.53824802375</v>
      </c>
      <c r="R26" s="70">
        <f t="shared" si="2"/>
        <v>7828875505.6497612</v>
      </c>
      <c r="S26" s="70">
        <f t="shared" si="3"/>
        <v>5476642256.5375729</v>
      </c>
      <c r="T26" s="70">
        <f t="shared" si="4"/>
        <v>1084306671.2623687</v>
      </c>
      <c r="U26" s="70">
        <f t="shared" si="5"/>
        <v>474879842.00868577</v>
      </c>
      <c r="V26" s="70">
        <f t="shared" si="9"/>
        <v>265644293.96534553</v>
      </c>
      <c r="W26" s="71">
        <f t="shared" si="7"/>
        <v>116340813.62047434</v>
      </c>
    </row>
    <row r="27" spans="1:23" x14ac:dyDescent="0.2">
      <c r="H27" s="69" t="s">
        <v>29</v>
      </c>
      <c r="I27" s="22"/>
      <c r="J27" s="63"/>
      <c r="K27" s="63">
        <v>25</v>
      </c>
      <c r="L27" s="63">
        <f t="shared" si="0"/>
        <v>32114.86234164708</v>
      </c>
      <c r="M27" s="63"/>
      <c r="N27" s="63">
        <v>25</v>
      </c>
      <c r="O27" s="63">
        <f t="shared" si="8"/>
        <v>3.3380398587754712E-2</v>
      </c>
      <c r="P27" s="63">
        <f>L27*SUM(O$3:O27)*B$5</f>
        <v>16655.290489152041</v>
      </c>
      <c r="Q27" s="63">
        <f t="shared" si="1"/>
        <v>217623.17314339132</v>
      </c>
      <c r="R27" s="70">
        <f t="shared" si="2"/>
        <v>8306227982.5721874</v>
      </c>
      <c r="S27" s="70">
        <f t="shared" si="3"/>
        <v>5724700767.7135229</v>
      </c>
      <c r="T27" s="70">
        <f t="shared" si="4"/>
        <v>1150420441.3557973</v>
      </c>
      <c r="U27" s="70">
        <f t="shared" si="5"/>
        <v>486796946.15435719</v>
      </c>
      <c r="V27" s="70">
        <f t="shared" si="9"/>
        <v>265644293.96534553</v>
      </c>
      <c r="W27" s="71">
        <f t="shared" si="7"/>
        <v>112406583.20818779</v>
      </c>
    </row>
    <row r="28" spans="1:23" x14ac:dyDescent="0.2">
      <c r="A28" s="3" t="s">
        <v>72</v>
      </c>
      <c r="H28" s="69" t="s">
        <v>13</v>
      </c>
      <c r="I28" s="43" t="s">
        <v>1</v>
      </c>
      <c r="J28" s="63"/>
      <c r="K28" s="63">
        <v>26</v>
      </c>
      <c r="L28" s="63">
        <f t="shared" si="0"/>
        <v>32757.159588480026</v>
      </c>
      <c r="M28" s="63"/>
      <c r="N28" s="63">
        <v>26</v>
      </c>
      <c r="O28" s="63">
        <f t="shared" si="8"/>
        <v>3.2712790615999618E-2</v>
      </c>
      <c r="P28" s="63">
        <f>L28*SUM(O$3:O28)*B$5</f>
        <v>17631.343160610784</v>
      </c>
      <c r="Q28" s="63">
        <f t="shared" si="1"/>
        <v>230376.57901501417</v>
      </c>
      <c r="R28" s="70">
        <f t="shared" si="2"/>
        <v>8792999199.0463409</v>
      </c>
      <c r="S28" s="70">
        <f t="shared" si="3"/>
        <v>5970626925.0927601</v>
      </c>
      <c r="T28" s="70">
        <f t="shared" si="4"/>
        <v>1217838715.7964277</v>
      </c>
      <c r="U28" s="70">
        <f t="shared" si="5"/>
        <v>497898343.96684808</v>
      </c>
      <c r="V28" s="70">
        <f t="shared" si="9"/>
        <v>265644293.96534553</v>
      </c>
      <c r="W28" s="71">
        <f t="shared" si="7"/>
        <v>108605394.40404616</v>
      </c>
    </row>
    <row r="29" spans="1:23" x14ac:dyDescent="0.2">
      <c r="A29" s="56" t="s">
        <v>73</v>
      </c>
      <c r="B29" s="96">
        <v>5000000</v>
      </c>
      <c r="H29" s="73" t="s">
        <v>66</v>
      </c>
      <c r="I29" s="22">
        <f>SUM(W3:W32)</f>
        <v>3828998676.9368029</v>
      </c>
      <c r="J29" s="63"/>
      <c r="K29" s="63">
        <v>27</v>
      </c>
      <c r="L29" s="63">
        <f t="shared" si="0"/>
        <v>33412.302780249622</v>
      </c>
      <c r="M29" s="63"/>
      <c r="N29" s="63">
        <v>27</v>
      </c>
      <c r="O29" s="63">
        <f t="shared" si="8"/>
        <v>3.2058534803679622E-2</v>
      </c>
      <c r="P29" s="63">
        <f>L29*SUM(O$3:O29)*B$5</f>
        <v>18626.659706754024</v>
      </c>
      <c r="Q29" s="63">
        <f t="shared" si="1"/>
        <v>243381.69262710586</v>
      </c>
      <c r="R29" s="70">
        <f t="shared" si="2"/>
        <v>9289377581.1872463</v>
      </c>
      <c r="S29" s="70">
        <f t="shared" si="3"/>
        <v>6214461117.5534763</v>
      </c>
      <c r="T29" s="70">
        <f t="shared" si="4"/>
        <v>1286587591.7796247</v>
      </c>
      <c r="U29" s="70">
        <f t="shared" si="5"/>
        <v>508217849.55884475</v>
      </c>
      <c r="V29" s="70">
        <f t="shared" si="9"/>
        <v>265644293.96534553</v>
      </c>
      <c r="W29" s="71">
        <f t="shared" si="7"/>
        <v>104932748.21646973</v>
      </c>
    </row>
    <row r="30" spans="1:23" x14ac:dyDescent="0.2">
      <c r="A30" s="56" t="s">
        <v>74</v>
      </c>
      <c r="B30" s="96">
        <f>B29/B41</f>
        <v>38167.938931297707</v>
      </c>
      <c r="H30" s="73"/>
      <c r="I30" s="22"/>
      <c r="J30" s="63"/>
      <c r="K30" s="63">
        <v>28</v>
      </c>
      <c r="L30" s="63">
        <f t="shared" si="0"/>
        <v>34080.548835854621</v>
      </c>
      <c r="M30" s="63"/>
      <c r="N30" s="63">
        <v>28</v>
      </c>
      <c r="O30" s="63">
        <f t="shared" si="8"/>
        <v>3.1417364107606031E-2</v>
      </c>
      <c r="P30" s="63">
        <f>L30*SUM(O$3:O30)*B$5</f>
        <v>19641.625507946963</v>
      </c>
      <c r="Q30" s="63">
        <f t="shared" si="1"/>
        <v>256643.54947862675</v>
      </c>
      <c r="R30" s="70">
        <f t="shared" si="2"/>
        <v>9795555323.6117077</v>
      </c>
      <c r="S30" s="70">
        <f t="shared" si="3"/>
        <v>6456243160.7629309</v>
      </c>
      <c r="T30" s="70">
        <f t="shared" si="4"/>
        <v>1356693688.4418192</v>
      </c>
      <c r="U30" s="70">
        <f t="shared" si="5"/>
        <v>517788034.78364772</v>
      </c>
      <c r="V30" s="70">
        <f t="shared" si="9"/>
        <v>265644293.96534553</v>
      </c>
      <c r="W30" s="71">
        <f t="shared" si="7"/>
        <v>101384297.79369058</v>
      </c>
    </row>
    <row r="31" spans="1:23" x14ac:dyDescent="0.2">
      <c r="H31" s="45" t="s">
        <v>32</v>
      </c>
      <c r="I31" s="25">
        <f>I25-I29</f>
        <v>102341301746.99216</v>
      </c>
      <c r="J31" s="63"/>
      <c r="K31" s="63">
        <v>29</v>
      </c>
      <c r="L31" s="63">
        <f t="shared" si="0"/>
        <v>34762.159812571706</v>
      </c>
      <c r="M31" s="63"/>
      <c r="N31" s="63">
        <v>29</v>
      </c>
      <c r="O31" s="63">
        <f t="shared" si="8"/>
        <v>3.0789016825453909E-2</v>
      </c>
      <c r="P31" s="63">
        <f>L31*SUM(O$3:O31)*B$5</f>
        <v>20676.633652120934</v>
      </c>
      <c r="Q31" s="63">
        <f t="shared" si="1"/>
        <v>270167.28577797842</v>
      </c>
      <c r="R31" s="70">
        <f t="shared" si="2"/>
        <v>10311728464.808336</v>
      </c>
      <c r="S31" s="70">
        <f t="shared" si="3"/>
        <v>6696012306.0694332</v>
      </c>
      <c r="T31" s="70">
        <f t="shared" si="4"/>
        <v>1428184157.2993267</v>
      </c>
      <c r="U31" s="70">
        <f t="shared" si="5"/>
        <v>526640272.96634215</v>
      </c>
      <c r="V31" s="70">
        <f t="shared" si="9"/>
        <v>265644293.96534553</v>
      </c>
      <c r="W31" s="71">
        <f t="shared" si="7"/>
        <v>97955843.278928086</v>
      </c>
    </row>
    <row r="32" spans="1:23" ht="17" thickBot="1" x14ac:dyDescent="0.25">
      <c r="A32" s="3" t="s">
        <v>90</v>
      </c>
      <c r="B32" s="53" t="s">
        <v>68</v>
      </c>
      <c r="C32" s="53" t="s">
        <v>67</v>
      </c>
      <c r="H32" s="48" t="s">
        <v>33</v>
      </c>
      <c r="I32" s="28">
        <f>I25 / I29</f>
        <v>27.727954324827593</v>
      </c>
      <c r="J32" s="77"/>
      <c r="K32" s="77">
        <v>30</v>
      </c>
      <c r="L32" s="77">
        <f t="shared" si="0"/>
        <v>35457.403008823145</v>
      </c>
      <c r="M32" s="77"/>
      <c r="N32" s="77">
        <v>30</v>
      </c>
      <c r="O32" s="77">
        <f t="shared" si="8"/>
        <v>3.0173236488944832E-2</v>
      </c>
      <c r="P32" s="77">
        <f>L32*SUM(O$3:O32)*B$5</f>
        <v>21732.085088924781</v>
      </c>
      <c r="Q32" s="77">
        <f t="shared" si="1"/>
        <v>283958.14045719325</v>
      </c>
      <c r="R32" s="78">
        <f t="shared" si="2"/>
        <v>10838096964.015009</v>
      </c>
      <c r="S32" s="78">
        <f t="shared" si="3"/>
        <v>6933807249.2604017</v>
      </c>
      <c r="T32" s="78">
        <f t="shared" si="4"/>
        <v>1501086692.8959489</v>
      </c>
      <c r="U32" s="78">
        <f t="shared" si="5"/>
        <v>534804781.12123483</v>
      </c>
      <c r="V32" s="78">
        <f t="shared" si="9"/>
        <v>265644293.96534553</v>
      </c>
      <c r="W32" s="79">
        <f t="shared" si="7"/>
        <v>94643326.839544058</v>
      </c>
    </row>
    <row r="33" spans="1:23" x14ac:dyDescent="0.2">
      <c r="A33" s="80" t="s">
        <v>57</v>
      </c>
      <c r="B33" s="99">
        <v>4194</v>
      </c>
      <c r="C33" s="91">
        <v>56170</v>
      </c>
    </row>
    <row r="34" spans="1:23" ht="16" thickBot="1" x14ac:dyDescent="0.25">
      <c r="A34" s="80" t="s">
        <v>58</v>
      </c>
      <c r="B34" s="99">
        <v>9351</v>
      </c>
      <c r="C34" s="91">
        <v>119609</v>
      </c>
      <c r="H34" s="3"/>
    </row>
    <row r="35" spans="1:23" ht="16" thickBot="1" x14ac:dyDescent="0.25">
      <c r="A35" s="80" t="s">
        <v>59</v>
      </c>
      <c r="B35" s="99">
        <v>993</v>
      </c>
      <c r="C35" s="91">
        <v>13161</v>
      </c>
      <c r="H35" s="38" t="s">
        <v>34</v>
      </c>
      <c r="I35" s="20"/>
      <c r="J35" s="57"/>
      <c r="K35" s="58" t="s">
        <v>17</v>
      </c>
      <c r="L35" s="59"/>
      <c r="M35" s="57"/>
      <c r="N35" s="58" t="s">
        <v>18</v>
      </c>
      <c r="O35" s="58"/>
      <c r="P35" s="58"/>
      <c r="Q35" s="57"/>
      <c r="R35" s="57"/>
      <c r="S35" s="57"/>
      <c r="T35" s="57"/>
      <c r="U35" s="57"/>
      <c r="V35" s="57"/>
      <c r="W35" s="60"/>
    </row>
    <row r="36" spans="1:23" x14ac:dyDescent="0.2">
      <c r="A36" s="80" t="s">
        <v>60</v>
      </c>
      <c r="B36" s="99">
        <v>1983</v>
      </c>
      <c r="C36" s="91">
        <v>23759</v>
      </c>
      <c r="H36" s="62" t="s">
        <v>43</v>
      </c>
      <c r="I36" s="21">
        <v>10</v>
      </c>
      <c r="J36" s="63"/>
      <c r="K36" s="64" t="s">
        <v>16</v>
      </c>
      <c r="L36" s="64" t="s">
        <v>53</v>
      </c>
      <c r="M36" s="63"/>
      <c r="N36" s="64" t="s">
        <v>16</v>
      </c>
      <c r="O36" s="65" t="s">
        <v>20</v>
      </c>
      <c r="P36" s="65" t="s">
        <v>19</v>
      </c>
      <c r="Q36" s="65" t="s">
        <v>26</v>
      </c>
      <c r="R36" s="65" t="s">
        <v>27</v>
      </c>
      <c r="S36" s="65" t="s">
        <v>28</v>
      </c>
      <c r="T36" s="65" t="s">
        <v>38</v>
      </c>
      <c r="U36" s="65" t="s">
        <v>40</v>
      </c>
      <c r="V36" s="66" t="s">
        <v>30</v>
      </c>
      <c r="W36" s="67" t="s">
        <v>31</v>
      </c>
    </row>
    <row r="37" spans="1:23" x14ac:dyDescent="0.2">
      <c r="A37" s="80" t="s">
        <v>61</v>
      </c>
      <c r="B37" s="99">
        <v>1716</v>
      </c>
      <c r="C37" s="91">
        <v>25617</v>
      </c>
      <c r="H37" s="69" t="s">
        <v>12</v>
      </c>
      <c r="I37" s="22"/>
      <c r="J37" s="63"/>
      <c r="K37" s="63">
        <v>1</v>
      </c>
      <c r="L37" s="63">
        <f>($B$23*($B$10^K37)*(1-$B$24))+($B$22*($B$10^K37))</f>
        <v>735478.65</v>
      </c>
      <c r="M37" s="63"/>
      <c r="N37" s="63">
        <v>1</v>
      </c>
      <c r="O37" s="63">
        <v>0</v>
      </c>
      <c r="P37" s="63">
        <f>L37*SUM(O$37:O37)*B$5</f>
        <v>0</v>
      </c>
      <c r="Q37" s="63">
        <f t="shared" ref="Q37:Q66" si="10">B$20*P37</f>
        <v>0</v>
      </c>
      <c r="R37" s="70">
        <f t="shared" ref="R37:R66" si="11">Q37*B$9</f>
        <v>0</v>
      </c>
      <c r="S37" s="70">
        <f t="shared" ref="S37:S66" si="12">R37*(B$17^N37)</f>
        <v>0</v>
      </c>
      <c r="T37" s="70">
        <f t="shared" ref="T37:T66" si="13">B$16*P37</f>
        <v>0</v>
      </c>
      <c r="U37" s="70">
        <f t="shared" ref="U37:U66" si="14">T37*(B$18^N37)</f>
        <v>0</v>
      </c>
      <c r="V37" s="70">
        <f>B$5*N37*(B$3/10)</f>
        <v>270000000</v>
      </c>
      <c r="W37" s="71">
        <f t="shared" ref="W37:W66" si="15">V37*(B$18^N37)</f>
        <v>260869565.21739131</v>
      </c>
    </row>
    <row r="38" spans="1:23" x14ac:dyDescent="0.2">
      <c r="A38" s="80" t="s">
        <v>62</v>
      </c>
      <c r="B38" s="99">
        <v>1338</v>
      </c>
      <c r="C38" s="91">
        <v>17457</v>
      </c>
      <c r="H38" s="69" t="s">
        <v>13</v>
      </c>
      <c r="I38" s="43" t="s">
        <v>1</v>
      </c>
      <c r="J38" s="63"/>
      <c r="K38" s="63">
        <v>2</v>
      </c>
      <c r="L38" s="63">
        <f t="shared" ref="L38:L66" si="16">($B$23*($B$10^K38)*(1-$B$24))+($B$22*($B$10^K38))</f>
        <v>750188.223</v>
      </c>
      <c r="M38" s="63"/>
      <c r="N38" s="63">
        <v>2</v>
      </c>
      <c r="O38" s="63">
        <v>0</v>
      </c>
      <c r="P38" s="63">
        <f>L38*SUM(O$37:O38)*B$5</f>
        <v>0</v>
      </c>
      <c r="Q38" s="63">
        <f t="shared" si="10"/>
        <v>0</v>
      </c>
      <c r="R38" s="70">
        <f t="shared" si="11"/>
        <v>0</v>
      </c>
      <c r="S38" s="70">
        <f t="shared" si="12"/>
        <v>0</v>
      </c>
      <c r="T38" s="70">
        <f t="shared" si="13"/>
        <v>0</v>
      </c>
      <c r="U38" s="70">
        <f t="shared" si="14"/>
        <v>0</v>
      </c>
      <c r="V38" s="70">
        <f t="shared" ref="V38:V46" si="17">B$5*N38*(B$3/10)</f>
        <v>540000000</v>
      </c>
      <c r="W38" s="71">
        <f t="shared" si="15"/>
        <v>504095778.19785762</v>
      </c>
    </row>
    <row r="39" spans="1:23" x14ac:dyDescent="0.2">
      <c r="A39" s="84" t="s">
        <v>88</v>
      </c>
      <c r="B39" s="100">
        <f>SUM(B33:B38)</f>
        <v>19575</v>
      </c>
      <c r="C39" s="92">
        <f>SUM(C33:C38)</f>
        <v>255773</v>
      </c>
      <c r="H39" s="73" t="s">
        <v>22</v>
      </c>
      <c r="I39" s="23">
        <f>SUM(P37:P46)</f>
        <v>518262.24563889764</v>
      </c>
      <c r="J39" s="63"/>
      <c r="K39" s="63">
        <v>3</v>
      </c>
      <c r="L39" s="63">
        <f t="shared" si="16"/>
        <v>765191.98745999997</v>
      </c>
      <c r="M39" s="63"/>
      <c r="N39" s="63">
        <v>3</v>
      </c>
      <c r="O39" s="63">
        <v>0</v>
      </c>
      <c r="P39" s="63">
        <f>L39*SUM(O$37:O39)*B$5</f>
        <v>0</v>
      </c>
      <c r="Q39" s="63">
        <f t="shared" si="10"/>
        <v>0</v>
      </c>
      <c r="R39" s="70">
        <f t="shared" si="11"/>
        <v>0</v>
      </c>
      <c r="S39" s="70">
        <f t="shared" si="12"/>
        <v>0</v>
      </c>
      <c r="T39" s="70">
        <f t="shared" si="13"/>
        <v>0</v>
      </c>
      <c r="U39" s="70">
        <f t="shared" si="14"/>
        <v>0</v>
      </c>
      <c r="V39" s="70">
        <f t="shared" si="17"/>
        <v>809999999.99999988</v>
      </c>
      <c r="W39" s="71">
        <f t="shared" si="15"/>
        <v>730573591.59109807</v>
      </c>
    </row>
    <row r="40" spans="1:23" x14ac:dyDescent="0.2">
      <c r="B40" s="82"/>
      <c r="C40" s="81"/>
      <c r="D40" s="81"/>
      <c r="E40" s="81"/>
      <c r="F40" s="81"/>
      <c r="H40" s="73" t="s">
        <v>23</v>
      </c>
      <c r="I40" s="22">
        <f>I39*B$20</f>
        <v>19538486.660586443</v>
      </c>
      <c r="J40" s="63"/>
      <c r="K40" s="63">
        <v>4</v>
      </c>
      <c r="L40" s="63">
        <f t="shared" si="16"/>
        <v>780495.82720920001</v>
      </c>
      <c r="M40" s="63"/>
      <c r="N40" s="63">
        <v>4</v>
      </c>
      <c r="O40" s="63">
        <v>0</v>
      </c>
      <c r="P40" s="63">
        <f>L40*SUM(O$37:O40)*B$5</f>
        <v>0</v>
      </c>
      <c r="Q40" s="63">
        <f t="shared" si="10"/>
        <v>0</v>
      </c>
      <c r="R40" s="70">
        <f t="shared" si="11"/>
        <v>0</v>
      </c>
      <c r="S40" s="70">
        <f t="shared" si="12"/>
        <v>0</v>
      </c>
      <c r="T40" s="70">
        <f t="shared" si="13"/>
        <v>0</v>
      </c>
      <c r="U40" s="70">
        <f t="shared" si="14"/>
        <v>0</v>
      </c>
      <c r="V40" s="70">
        <f t="shared" si="17"/>
        <v>1080000000</v>
      </c>
      <c r="W40" s="71">
        <f t="shared" si="15"/>
        <v>941157605.91445816</v>
      </c>
    </row>
    <row r="41" spans="1:23" x14ac:dyDescent="0.2">
      <c r="A41" s="3" t="s">
        <v>70</v>
      </c>
      <c r="B41" s="82">
        <v>131</v>
      </c>
      <c r="C41" s="81"/>
      <c r="D41" s="81"/>
      <c r="E41" s="81"/>
      <c r="F41" s="81"/>
      <c r="H41" s="73" t="s">
        <v>37</v>
      </c>
      <c r="I41" s="22">
        <f>SUM(S37:S46)</f>
        <v>310631544590.51147</v>
      </c>
      <c r="J41" s="63"/>
      <c r="K41" s="63">
        <v>5</v>
      </c>
      <c r="L41" s="63">
        <f t="shared" si="16"/>
        <v>796105.74375338398</v>
      </c>
      <c r="M41" s="63"/>
      <c r="N41" s="63">
        <v>5</v>
      </c>
      <c r="O41" s="63">
        <f>B$14</f>
        <v>0.05</v>
      </c>
      <c r="P41" s="63">
        <f>L41*SUM(O$37:O41)*B$5</f>
        <v>23883.17231260152</v>
      </c>
      <c r="Q41" s="63">
        <f t="shared" si="10"/>
        <v>900395.59618507733</v>
      </c>
      <c r="R41" s="70">
        <f t="shared" si="11"/>
        <v>16207120731.331392</v>
      </c>
      <c r="S41" s="70">
        <f t="shared" si="12"/>
        <v>15044427163.95417</v>
      </c>
      <c r="T41" s="70">
        <f t="shared" si="13"/>
        <v>1649667392.5162172</v>
      </c>
      <c r="U41" s="70">
        <f t="shared" si="14"/>
        <v>1388975678.7401233</v>
      </c>
      <c r="V41" s="70">
        <f t="shared" si="17"/>
        <v>1350000000</v>
      </c>
      <c r="W41" s="71">
        <f t="shared" si="15"/>
        <v>1136663775.2590075</v>
      </c>
    </row>
    <row r="42" spans="1:23" ht="16" x14ac:dyDescent="0.2">
      <c r="B42" s="82" t="s">
        <v>76</v>
      </c>
      <c r="C42" s="81"/>
      <c r="D42" s="81"/>
      <c r="E42" s="81"/>
      <c r="F42" s="81"/>
      <c r="H42" s="83" t="s">
        <v>41</v>
      </c>
      <c r="I42" s="30">
        <f>SUM(U37:U46)</f>
        <v>26890433641.293083</v>
      </c>
      <c r="J42" s="63"/>
      <c r="K42" s="63">
        <v>6</v>
      </c>
      <c r="L42" s="63">
        <f t="shared" si="16"/>
        <v>812027.85862845182</v>
      </c>
      <c r="M42" s="63"/>
      <c r="N42" s="63">
        <v>6</v>
      </c>
      <c r="O42" s="63">
        <f t="shared" ref="O42:O65" si="18">O41*$B$15</f>
        <v>4.9000000000000002E-2</v>
      </c>
      <c r="P42" s="63">
        <f>L42*SUM(O$37:O42)*B$5</f>
        <v>48234.454802530039</v>
      </c>
      <c r="Q42" s="63">
        <f t="shared" si="10"/>
        <v>1818438.9460553827</v>
      </c>
      <c r="R42" s="70">
        <f t="shared" si="11"/>
        <v>32731901028.996887</v>
      </c>
      <c r="S42" s="70">
        <f t="shared" si="12"/>
        <v>29934704532.336803</v>
      </c>
      <c r="T42" s="70">
        <f t="shared" si="13"/>
        <v>3331668265.9257531</v>
      </c>
      <c r="U42" s="70">
        <f t="shared" si="14"/>
        <v>2710314280.9502935</v>
      </c>
      <c r="V42" s="70">
        <f t="shared" si="17"/>
        <v>1619999999.9999998</v>
      </c>
      <c r="W42" s="71">
        <f t="shared" si="15"/>
        <v>1317871043.7785594</v>
      </c>
    </row>
    <row r="43" spans="1:23" x14ac:dyDescent="0.2">
      <c r="B43" s="82"/>
      <c r="C43" s="81"/>
      <c r="D43" s="81"/>
      <c r="E43" s="81"/>
      <c r="F43" s="81"/>
      <c r="H43" s="73" t="s">
        <v>39</v>
      </c>
      <c r="I43" s="22">
        <f>I41</f>
        <v>310631544590.51147</v>
      </c>
      <c r="J43" s="63"/>
      <c r="K43" s="63">
        <v>7</v>
      </c>
      <c r="L43" s="63">
        <f t="shared" si="16"/>
        <v>828268.41580102069</v>
      </c>
      <c r="M43" s="63"/>
      <c r="N43" s="63">
        <v>7</v>
      </c>
      <c r="O43" s="63">
        <f t="shared" si="18"/>
        <v>4.802E-2</v>
      </c>
      <c r="P43" s="63">
        <f>L43*SUM(O$37:O43)*B$5</f>
        <v>73063.21349463964</v>
      </c>
      <c r="Q43" s="63">
        <f t="shared" si="10"/>
        <v>2754483.1487479145</v>
      </c>
      <c r="R43" s="70">
        <f t="shared" si="11"/>
        <v>49580696677.462463</v>
      </c>
      <c r="S43" s="70">
        <f t="shared" si="12"/>
        <v>44673536005.881866</v>
      </c>
      <c r="T43" s="70">
        <f t="shared" si="13"/>
        <v>5046649553.7932539</v>
      </c>
      <c r="U43" s="70">
        <f t="shared" si="14"/>
        <v>3966620931.0205274</v>
      </c>
      <c r="V43" s="70">
        <f t="shared" si="17"/>
        <v>1890000000</v>
      </c>
      <c r="W43" s="71">
        <f t="shared" si="15"/>
        <v>1485522915.6924183</v>
      </c>
    </row>
    <row r="44" spans="1:23" x14ac:dyDescent="0.2">
      <c r="A44" s="3" t="s">
        <v>63</v>
      </c>
      <c r="B44" s="101"/>
      <c r="C44" s="49"/>
      <c r="D44" s="49"/>
      <c r="E44" s="49"/>
      <c r="F44" s="49"/>
      <c r="H44" s="74"/>
      <c r="I44" s="24"/>
      <c r="J44" s="63"/>
      <c r="K44" s="63">
        <v>8</v>
      </c>
      <c r="L44" s="63">
        <f t="shared" si="16"/>
        <v>844833.78411704104</v>
      </c>
      <c r="M44" s="63"/>
      <c r="N44" s="63">
        <v>8</v>
      </c>
      <c r="O44" s="63">
        <f t="shared" si="18"/>
        <v>4.70596E-2</v>
      </c>
      <c r="P44" s="63">
        <f>L44*SUM(O$37:O44)*B$5</f>
        <v>98379.001732753022</v>
      </c>
      <c r="Q44" s="63">
        <f t="shared" si="10"/>
        <v>3708888.3653247892</v>
      </c>
      <c r="R44" s="70">
        <f t="shared" si="11"/>
        <v>66759990575.846207</v>
      </c>
      <c r="S44" s="70">
        <f t="shared" si="12"/>
        <v>59263586259.027756</v>
      </c>
      <c r="T44" s="70">
        <f t="shared" si="13"/>
        <v>6795271128.2490873</v>
      </c>
      <c r="U44" s="70">
        <f t="shared" si="14"/>
        <v>5160407422.4149952</v>
      </c>
      <c r="V44" s="70">
        <f t="shared" si="17"/>
        <v>2160000000</v>
      </c>
      <c r="W44" s="71">
        <f t="shared" si="15"/>
        <v>1640328961.4271009</v>
      </c>
    </row>
    <row r="45" spans="1:23" x14ac:dyDescent="0.2">
      <c r="A45" s="56" t="s">
        <v>71</v>
      </c>
      <c r="B45" s="108">
        <v>329406466854</v>
      </c>
      <c r="H45" s="69" t="s">
        <v>29</v>
      </c>
      <c r="I45" s="22"/>
      <c r="J45" s="63"/>
      <c r="K45" s="63">
        <v>9</v>
      </c>
      <c r="L45" s="63">
        <f t="shared" si="16"/>
        <v>861730.45979938179</v>
      </c>
      <c r="M45" s="63"/>
      <c r="N45" s="63">
        <v>9</v>
      </c>
      <c r="O45" s="63">
        <f t="shared" si="18"/>
        <v>4.6118408E-2</v>
      </c>
      <c r="P45" s="63">
        <f>L45*SUM(O$37:O45)*B$5</f>
        <v>124191.56392604134</v>
      </c>
      <c r="Q45" s="63">
        <f t="shared" si="10"/>
        <v>4682021.9600117588</v>
      </c>
      <c r="R45" s="70">
        <f t="shared" si="11"/>
        <v>84276395280.211655</v>
      </c>
      <c r="S45" s="70">
        <f t="shared" si="12"/>
        <v>73707481343.933914</v>
      </c>
      <c r="T45" s="70">
        <f t="shared" si="13"/>
        <v>8578206058.7606821</v>
      </c>
      <c r="U45" s="70">
        <f t="shared" si="14"/>
        <v>6294095471.1373129</v>
      </c>
      <c r="V45" s="70">
        <f t="shared" si="17"/>
        <v>2429999999.9999995</v>
      </c>
      <c r="W45" s="71">
        <f t="shared" si="15"/>
        <v>1782966262.4207618</v>
      </c>
    </row>
    <row r="46" spans="1:23" x14ac:dyDescent="0.2">
      <c r="A46" s="80" t="s">
        <v>78</v>
      </c>
      <c r="B46" s="109">
        <f>804542/22.1</f>
        <v>36404.615384615383</v>
      </c>
      <c r="H46" s="69"/>
      <c r="I46" s="43"/>
      <c r="J46" s="63"/>
      <c r="K46" s="88">
        <v>10</v>
      </c>
      <c r="L46" s="88">
        <f t="shared" si="16"/>
        <v>878965.0689953696</v>
      </c>
      <c r="M46" s="63"/>
      <c r="N46" s="88">
        <v>10</v>
      </c>
      <c r="O46" s="63">
        <f t="shared" si="18"/>
        <v>4.519603984E-2</v>
      </c>
      <c r="P46" s="63">
        <f>L46*SUM(O$37:O46)*B$5</f>
        <v>150510.83937033205</v>
      </c>
      <c r="Q46" s="63">
        <f t="shared" ref="Q46" si="19">B$20*P46</f>
        <v>5674258.6442615185</v>
      </c>
      <c r="R46" s="70">
        <f t="shared" ref="R46" si="20">Q46*B$9</f>
        <v>102136655596.70734</v>
      </c>
      <c r="S46" s="70">
        <f t="shared" ref="S46:S47" si="21">R46*(B$17^N46)</f>
        <v>88007809285.376968</v>
      </c>
      <c r="T46" s="70">
        <f t="shared" ref="T46:T47" si="22">B$16*P46</f>
        <v>10396140876.079334</v>
      </c>
      <c r="U46" s="70">
        <f t="shared" ref="U46:U47" si="23">T46*(B$18^N46)</f>
        <v>7370019857.0298319</v>
      </c>
      <c r="V46" s="70">
        <f t="shared" si="17"/>
        <v>2700000000</v>
      </c>
      <c r="W46" s="71">
        <f t="shared" si="15"/>
        <v>1914080797.0163846</v>
      </c>
    </row>
    <row r="47" spans="1:23" x14ac:dyDescent="0.2">
      <c r="A47" s="80" t="s">
        <v>69</v>
      </c>
      <c r="B47" s="110">
        <f>B45/B46</f>
        <v>9048480.8965515792</v>
      </c>
      <c r="H47" s="73" t="s">
        <v>47</v>
      </c>
      <c r="I47" s="22">
        <f>SUM(W37:W46)</f>
        <v>11714130296.515038</v>
      </c>
      <c r="J47" s="63"/>
      <c r="K47" s="63">
        <v>11</v>
      </c>
      <c r="L47" s="63">
        <f t="shared" si="16"/>
        <v>896544.37037527678</v>
      </c>
      <c r="M47" s="63"/>
      <c r="N47" s="63">
        <v>11</v>
      </c>
      <c r="O47" s="63">
        <f t="shared" si="18"/>
        <v>4.4292119043199997E-2</v>
      </c>
      <c r="P47" s="63">
        <f>L47*SUM(O$37:O47)*B$5</f>
        <v>177346.96614584219</v>
      </c>
      <c r="Q47" s="63">
        <f t="shared" si="10"/>
        <v>6685980.6236982513</v>
      </c>
      <c r="R47" s="70">
        <f t="shared" si="11"/>
        <v>120347651226.56853</v>
      </c>
      <c r="S47" s="70">
        <f t="shared" si="21"/>
        <v>102167120666.66431</v>
      </c>
      <c r="T47" s="70">
        <f t="shared" si="22"/>
        <v>12249775841.465899</v>
      </c>
      <c r="U47" s="70">
        <f t="shared" si="23"/>
        <v>8390431456.7561646</v>
      </c>
      <c r="V47" s="70">
        <f>V46</f>
        <v>2700000000</v>
      </c>
      <c r="W47" s="71">
        <f t="shared" si="15"/>
        <v>1849353427.0689707</v>
      </c>
    </row>
    <row r="48" spans="1:23" x14ac:dyDescent="0.2">
      <c r="A48" s="80" t="s">
        <v>91</v>
      </c>
      <c r="B48" s="112">
        <f>B47/B41</f>
        <v>69072.373256118924</v>
      </c>
      <c r="H48" s="73"/>
      <c r="I48" s="22"/>
      <c r="J48" s="63"/>
      <c r="K48" s="63">
        <v>12</v>
      </c>
      <c r="L48" s="63">
        <f t="shared" si="16"/>
        <v>914475.25778278243</v>
      </c>
      <c r="M48" s="63"/>
      <c r="N48" s="63">
        <v>12</v>
      </c>
      <c r="O48" s="63">
        <f t="shared" si="18"/>
        <v>4.3406276662335999E-2</v>
      </c>
      <c r="P48" s="63">
        <f>L48*SUM(O$37:O48)*B$5</f>
        <v>204710.28509286733</v>
      </c>
      <c r="Q48" s="63">
        <f t="shared" si="10"/>
        <v>7717577.7480010986</v>
      </c>
      <c r="R48" s="70">
        <f t="shared" si="11"/>
        <v>138916399464.01978</v>
      </c>
      <c r="S48" s="70">
        <f t="shared" si="12"/>
        <v>116187929206.70251</v>
      </c>
      <c r="T48" s="70">
        <f t="shared" si="13"/>
        <v>14139825221.30105</v>
      </c>
      <c r="U48" s="70">
        <f t="shared" si="14"/>
        <v>9357500172.1844215</v>
      </c>
      <c r="V48" s="70">
        <f t="shared" ref="V48:V66" si="24">V47</f>
        <v>2700000000</v>
      </c>
      <c r="W48" s="71">
        <f t="shared" si="15"/>
        <v>1786814905.3806481</v>
      </c>
    </row>
    <row r="49" spans="1:23" x14ac:dyDescent="0.2">
      <c r="A49" s="80"/>
      <c r="F49" s="52"/>
      <c r="H49" s="45" t="s">
        <v>32</v>
      </c>
      <c r="I49" s="25">
        <f>I43-I47</f>
        <v>298917414293.99646</v>
      </c>
      <c r="J49" s="63"/>
      <c r="K49" s="63">
        <v>13</v>
      </c>
      <c r="L49" s="63">
        <f t="shared" si="16"/>
        <v>932764.7629384381</v>
      </c>
      <c r="M49" s="63"/>
      <c r="N49" s="63">
        <v>13</v>
      </c>
      <c r="O49" s="63">
        <f>O48*$B$15</f>
        <v>4.2538151129089277E-2</v>
      </c>
      <c r="P49" s="63">
        <f>L49*SUM(O$37:O49)*B$5</f>
        <v>232611.34386698334</v>
      </c>
      <c r="Q49" s="63">
        <f t="shared" si="10"/>
        <v>8769447.6637852732</v>
      </c>
      <c r="R49" s="70">
        <f t="shared" si="11"/>
        <v>157850057948.13492</v>
      </c>
      <c r="S49" s="70">
        <f t="shared" si="12"/>
        <v>130072712328.35416</v>
      </c>
      <c r="T49" s="70">
        <f t="shared" si="13"/>
        <v>16067017567.187702</v>
      </c>
      <c r="U49" s="70">
        <f t="shared" si="14"/>
        <v>10273317757.761211</v>
      </c>
      <c r="V49" s="70">
        <f t="shared" si="24"/>
        <v>2700000000</v>
      </c>
      <c r="W49" s="71">
        <f t="shared" si="15"/>
        <v>1726391212.9281623</v>
      </c>
    </row>
    <row r="50" spans="1:23" ht="16" thickBot="1" x14ac:dyDescent="0.25">
      <c r="A50" s="84" t="s">
        <v>75</v>
      </c>
      <c r="B50" s="111">
        <v>23210</v>
      </c>
      <c r="H50" s="46" t="s">
        <v>33</v>
      </c>
      <c r="I50" s="26">
        <f>I43/I47</f>
        <v>26.517678797112627</v>
      </c>
      <c r="J50" s="63"/>
      <c r="K50" s="63">
        <v>14</v>
      </c>
      <c r="L50" s="63">
        <f t="shared" si="16"/>
        <v>951420.05819720682</v>
      </c>
      <c r="M50" s="63"/>
      <c r="N50" s="63">
        <v>14</v>
      </c>
      <c r="O50" s="63">
        <f t="shared" si="18"/>
        <v>4.1687388106507489E-2</v>
      </c>
      <c r="P50" s="63">
        <f>L50*SUM(O$37:O50)*B$5</f>
        <v>261060.90107535274</v>
      </c>
      <c r="Q50" s="63">
        <f t="shared" si="10"/>
        <v>9841995.9705407992</v>
      </c>
      <c r="R50" s="70">
        <f t="shared" si="11"/>
        <v>177155927469.73438</v>
      </c>
      <c r="S50" s="70">
        <f t="shared" si="12"/>
        <v>143823911718.21591</v>
      </c>
      <c r="T50" s="70">
        <f t="shared" si="13"/>
        <v>18032096001.655502</v>
      </c>
      <c r="U50" s="70">
        <f t="shared" si="14"/>
        <v>11139900550.343573</v>
      </c>
      <c r="V50" s="70">
        <f t="shared" si="24"/>
        <v>2700000000</v>
      </c>
      <c r="W50" s="71">
        <f t="shared" si="15"/>
        <v>1668010833.7470171</v>
      </c>
    </row>
    <row r="51" spans="1:23" ht="16" thickBot="1" x14ac:dyDescent="0.25">
      <c r="B51" s="97"/>
      <c r="C51" s="75"/>
      <c r="D51" s="75"/>
      <c r="E51" s="75"/>
      <c r="F51" s="75"/>
      <c r="H51" s="74"/>
      <c r="I51" s="27"/>
      <c r="J51" s="63"/>
      <c r="K51" s="63">
        <v>15</v>
      </c>
      <c r="L51" s="63">
        <f t="shared" si="16"/>
        <v>970448.45936115086</v>
      </c>
      <c r="M51" s="63"/>
      <c r="N51" s="63">
        <v>15</v>
      </c>
      <c r="O51" s="63">
        <f t="shared" si="18"/>
        <v>4.0853640344377336E-2</v>
      </c>
      <c r="P51" s="63">
        <f>L51*SUM(O$37:O51)*B$5</f>
        <v>290069.93049575709</v>
      </c>
      <c r="Q51" s="63">
        <f t="shared" si="10"/>
        <v>10935636.379690044</v>
      </c>
      <c r="R51" s="70">
        <f t="shared" si="11"/>
        <v>196841454834.42078</v>
      </c>
      <c r="S51" s="70">
        <f t="shared" si="12"/>
        <v>157443933877.94824</v>
      </c>
      <c r="T51" s="70">
        <f t="shared" si="13"/>
        <v>20035818509.579407</v>
      </c>
      <c r="U51" s="70">
        <f t="shared" si="14"/>
        <v>11959192104.837168</v>
      </c>
      <c r="V51" s="70">
        <f t="shared" si="24"/>
        <v>2700000000</v>
      </c>
      <c r="W51" s="71">
        <f t="shared" si="15"/>
        <v>1611604670.286973</v>
      </c>
    </row>
    <row r="52" spans="1:23" ht="21" x14ac:dyDescent="0.25">
      <c r="B52" s="102"/>
      <c r="C52" s="85"/>
      <c r="D52" s="81"/>
      <c r="E52" s="81"/>
      <c r="F52" s="81"/>
      <c r="H52" s="62" t="s">
        <v>43</v>
      </c>
      <c r="I52" s="21">
        <v>30</v>
      </c>
      <c r="J52" s="63"/>
      <c r="K52" s="63">
        <v>16</v>
      </c>
      <c r="L52" s="63">
        <f t="shared" si="16"/>
        <v>989857.42854837398</v>
      </c>
      <c r="M52" s="63"/>
      <c r="N52" s="63">
        <v>16</v>
      </c>
      <c r="O52" s="63">
        <f t="shared" si="18"/>
        <v>4.0036567537489791E-2</v>
      </c>
      <c r="P52" s="63">
        <f>L52*SUM(O$37:O52)*B$5</f>
        <v>319649.62538000999</v>
      </c>
      <c r="Q52" s="63">
        <f t="shared" si="10"/>
        <v>12050790.876826378</v>
      </c>
      <c r="R52" s="70">
        <f t="shared" si="11"/>
        <v>216914235782.87479</v>
      </c>
      <c r="S52" s="70">
        <f t="shared" si="12"/>
        <v>170935150667.28488</v>
      </c>
      <c r="T52" s="70">
        <f t="shared" si="13"/>
        <v>22078958235.426636</v>
      </c>
      <c r="U52" s="70">
        <f t="shared" si="14"/>
        <v>12733065738.87443</v>
      </c>
      <c r="V52" s="70">
        <f t="shared" si="24"/>
        <v>2700000000</v>
      </c>
      <c r="W52" s="71">
        <f t="shared" si="15"/>
        <v>1557105961.629926</v>
      </c>
    </row>
    <row r="53" spans="1:23" x14ac:dyDescent="0.2">
      <c r="B53" s="103"/>
      <c r="C53" s="86"/>
      <c r="D53" s="86"/>
      <c r="E53" s="86"/>
      <c r="F53" s="86"/>
      <c r="H53" s="69" t="s">
        <v>12</v>
      </c>
      <c r="I53" s="22"/>
      <c r="J53" s="63"/>
      <c r="K53" s="63">
        <v>17</v>
      </c>
      <c r="L53" s="63">
        <f t="shared" si="16"/>
        <v>1009654.5771193416</v>
      </c>
      <c r="M53" s="63"/>
      <c r="N53" s="63">
        <v>17</v>
      </c>
      <c r="O53" s="63">
        <f t="shared" si="18"/>
        <v>3.9235836186739995E-2</v>
      </c>
      <c r="P53" s="63">
        <f>L53*SUM(O$37:O53)*B$5</f>
        <v>349811.40284343826</v>
      </c>
      <c r="Q53" s="63">
        <f t="shared" si="10"/>
        <v>13187889.887197623</v>
      </c>
      <c r="R53" s="70">
        <f t="shared" si="11"/>
        <v>237382017969.55722</v>
      </c>
      <c r="S53" s="70">
        <f t="shared" si="12"/>
        <v>184299899838.84915</v>
      </c>
      <c r="T53" s="70">
        <f t="shared" si="13"/>
        <v>24162303786.448547</v>
      </c>
      <c r="U53" s="70">
        <f t="shared" si="14"/>
        <v>13463326989.655527</v>
      </c>
      <c r="V53" s="70">
        <f t="shared" si="24"/>
        <v>2700000000</v>
      </c>
      <c r="W53" s="71">
        <f t="shared" si="15"/>
        <v>1504450204.4733584</v>
      </c>
    </row>
    <row r="54" spans="1:23" x14ac:dyDescent="0.2">
      <c r="B54" s="103"/>
      <c r="C54" s="86"/>
      <c r="D54" s="86"/>
      <c r="E54" s="86"/>
      <c r="F54" s="86"/>
      <c r="H54" s="69" t="s">
        <v>13</v>
      </c>
      <c r="I54" s="43" t="s">
        <v>1</v>
      </c>
      <c r="J54" s="63"/>
      <c r="K54" s="63">
        <v>18</v>
      </c>
      <c r="L54" s="63">
        <f t="shared" si="16"/>
        <v>1029847.6686617283</v>
      </c>
      <c r="M54" s="63"/>
      <c r="N54" s="63">
        <v>18</v>
      </c>
      <c r="O54" s="63">
        <f t="shared" si="18"/>
        <v>3.8451119463005196E-2</v>
      </c>
      <c r="P54" s="63">
        <f>L54*SUM(O$37:O54)*B$5</f>
        <v>380566.90834215266</v>
      </c>
      <c r="Q54" s="63">
        <f t="shared" si="10"/>
        <v>14347372.444499156</v>
      </c>
      <c r="R54" s="70">
        <f t="shared" si="11"/>
        <v>258252704000.9848</v>
      </c>
      <c r="S54" s="70">
        <f t="shared" si="12"/>
        <v>197540485564.90033</v>
      </c>
      <c r="T54" s="70">
        <f t="shared" si="13"/>
        <v>26286659541.936367</v>
      </c>
      <c r="U54" s="70">
        <f t="shared" si="14"/>
        <v>14151715985.968054</v>
      </c>
      <c r="V54" s="70">
        <f t="shared" si="24"/>
        <v>2700000000</v>
      </c>
      <c r="W54" s="71">
        <f t="shared" si="15"/>
        <v>1453575076.7858536</v>
      </c>
    </row>
    <row r="55" spans="1:23" ht="16" x14ac:dyDescent="0.2">
      <c r="B55" s="104"/>
      <c r="C55" s="75"/>
      <c r="D55" s="75"/>
      <c r="E55" s="75"/>
      <c r="F55" s="75"/>
      <c r="H55" s="73" t="s">
        <v>22</v>
      </c>
      <c r="I55" s="23">
        <f>SUM(P37:P66)</f>
        <v>9932890.723405011</v>
      </c>
      <c r="J55" s="63"/>
      <c r="K55" s="63">
        <v>19</v>
      </c>
      <c r="L55" s="63">
        <f t="shared" si="16"/>
        <v>1050444.6220349628</v>
      </c>
      <c r="M55" s="63"/>
      <c r="N55" s="63">
        <v>19</v>
      </c>
      <c r="O55" s="63">
        <f t="shared" si="18"/>
        <v>3.7682097073745091E-2</v>
      </c>
      <c r="P55" s="63">
        <f>L55*SUM(O$37:O55)*B$5</f>
        <v>411928.02023986465</v>
      </c>
      <c r="Q55" s="63">
        <f t="shared" si="10"/>
        <v>15529686.363042898</v>
      </c>
      <c r="R55" s="70">
        <f t="shared" si="11"/>
        <v>279534354534.77216</v>
      </c>
      <c r="S55" s="70">
        <f t="shared" si="12"/>
        <v>210659178956.1348</v>
      </c>
      <c r="T55" s="70">
        <f t="shared" si="13"/>
        <v>28452845968.662041</v>
      </c>
      <c r="U55" s="70">
        <f t="shared" si="14"/>
        <v>14799909738.298086</v>
      </c>
      <c r="V55" s="70">
        <f t="shared" si="24"/>
        <v>2700000000</v>
      </c>
      <c r="W55" s="71">
        <f t="shared" si="15"/>
        <v>1404420364.0443034</v>
      </c>
    </row>
    <row r="56" spans="1:23" x14ac:dyDescent="0.2">
      <c r="B56" s="103"/>
      <c r="C56" s="86"/>
      <c r="D56" s="86"/>
      <c r="E56" s="86"/>
      <c r="F56" s="86"/>
      <c r="H56" s="73" t="s">
        <v>23</v>
      </c>
      <c r="I56" s="22">
        <f>I55*B$20</f>
        <v>374469980.27236897</v>
      </c>
      <c r="J56" s="63"/>
      <c r="K56" s="63">
        <v>20</v>
      </c>
      <c r="L56" s="63">
        <f t="shared" si="16"/>
        <v>1071453.5144756623</v>
      </c>
      <c r="M56" s="63"/>
      <c r="N56" s="63">
        <v>20</v>
      </c>
      <c r="O56" s="63">
        <f t="shared" si="18"/>
        <v>3.6928455132270187E-2</v>
      </c>
      <c r="P56" s="63">
        <f>L56*SUM(O$37:O56)*B$5</f>
        <v>443906.8544660387</v>
      </c>
      <c r="Q56" s="63">
        <f t="shared" si="10"/>
        <v>16735288.413369659</v>
      </c>
      <c r="R56" s="70">
        <f t="shared" si="11"/>
        <v>301235191440.65387</v>
      </c>
      <c r="S56" s="70">
        <f t="shared" si="12"/>
        <v>223658218572.66052</v>
      </c>
      <c r="T56" s="70">
        <f t="shared" si="13"/>
        <v>30661699942.627888</v>
      </c>
      <c r="U56" s="70">
        <f t="shared" si="14"/>
        <v>15409524349.845285</v>
      </c>
      <c r="V56" s="70">
        <f t="shared" si="24"/>
        <v>2700000000</v>
      </c>
      <c r="W56" s="71">
        <f t="shared" si="15"/>
        <v>1356927887.9655104</v>
      </c>
    </row>
    <row r="57" spans="1:23" x14ac:dyDescent="0.2">
      <c r="B57" s="105"/>
      <c r="C57" s="50"/>
      <c r="D57" s="50"/>
      <c r="E57" s="50"/>
      <c r="F57" s="50"/>
      <c r="H57" s="73" t="s">
        <v>37</v>
      </c>
      <c r="I57" s="22">
        <f>SUM(S37:S66)</f>
        <v>4874163495140.1953</v>
      </c>
      <c r="J57" s="63"/>
      <c r="K57" s="63">
        <v>21</v>
      </c>
      <c r="L57" s="63">
        <f t="shared" si="16"/>
        <v>1092882.5847651754</v>
      </c>
      <c r="M57" s="63"/>
      <c r="N57" s="63">
        <v>21</v>
      </c>
      <c r="O57" s="63">
        <f t="shared" si="18"/>
        <v>3.6189886029624779E-2</v>
      </c>
      <c r="P57" s="63">
        <f>L57*SUM(O$37:O57)*B$5</f>
        <v>476515.76926720748</v>
      </c>
      <c r="Q57" s="63">
        <f t="shared" si="10"/>
        <v>17964644.501373723</v>
      </c>
      <c r="R57" s="70">
        <f t="shared" si="11"/>
        <v>323363601024.72699</v>
      </c>
      <c r="S57" s="70">
        <f t="shared" si="12"/>
        <v>236539810927.26523</v>
      </c>
      <c r="T57" s="70">
        <f t="shared" si="13"/>
        <v>32914075077.251198</v>
      </c>
      <c r="U57" s="70">
        <f t="shared" si="14"/>
        <v>15982117151.158602</v>
      </c>
      <c r="V57" s="70">
        <f t="shared" si="24"/>
        <v>2700000000</v>
      </c>
      <c r="W57" s="71">
        <f t="shared" si="15"/>
        <v>1311041437.6478362</v>
      </c>
    </row>
    <row r="58" spans="1:23" x14ac:dyDescent="0.2">
      <c r="B58" s="106"/>
      <c r="C58" s="51"/>
      <c r="D58" s="51"/>
      <c r="E58" s="51"/>
      <c r="F58" s="51"/>
      <c r="H58" s="83" t="s">
        <v>41</v>
      </c>
      <c r="I58" s="30">
        <f>SUM(U37:U66)</f>
        <v>328748757155.95184</v>
      </c>
      <c r="J58" s="63"/>
      <c r="K58" s="63">
        <v>22</v>
      </c>
      <c r="L58" s="63">
        <f t="shared" si="16"/>
        <v>1114740.2364604787</v>
      </c>
      <c r="M58" s="63"/>
      <c r="N58" s="63">
        <v>22</v>
      </c>
      <c r="O58" s="63">
        <f t="shared" si="18"/>
        <v>3.5466088309032286E-2</v>
      </c>
      <c r="P58" s="63">
        <f>L58*SUM(O$37:O58)*B$5</f>
        <v>509767.37005331489</v>
      </c>
      <c r="Q58" s="63">
        <f t="shared" si="10"/>
        <v>19218229.851009972</v>
      </c>
      <c r="R58" s="70">
        <f t="shared" si="11"/>
        <v>345928137318.1795</v>
      </c>
      <c r="S58" s="70">
        <f t="shared" si="12"/>
        <v>249306130981.09586</v>
      </c>
      <c r="T58" s="70">
        <f t="shared" si="13"/>
        <v>35210842058.112663</v>
      </c>
      <c r="U58" s="70">
        <f t="shared" si="14"/>
        <v>16519188761.015898</v>
      </c>
      <c r="V58" s="70">
        <f t="shared" si="24"/>
        <v>2700000000</v>
      </c>
      <c r="W58" s="71">
        <f t="shared" si="15"/>
        <v>1266706703.0413878</v>
      </c>
    </row>
    <row r="59" spans="1:23" x14ac:dyDescent="0.2">
      <c r="B59" s="82"/>
      <c r="C59" s="81"/>
      <c r="D59" s="81"/>
      <c r="E59" s="81"/>
      <c r="F59" s="81"/>
      <c r="H59" s="73" t="s">
        <v>39</v>
      </c>
      <c r="I59" s="22">
        <f>I57</f>
        <v>4874163495140.1953</v>
      </c>
      <c r="J59" s="63"/>
      <c r="K59" s="63">
        <v>23</v>
      </c>
      <c r="L59" s="63">
        <f t="shared" si="16"/>
        <v>1137035.0411896883</v>
      </c>
      <c r="M59" s="63"/>
      <c r="N59" s="63">
        <v>23</v>
      </c>
      <c r="O59" s="63">
        <f t="shared" si="18"/>
        <v>3.475676654285164E-2</v>
      </c>
      <c r="P59" s="63">
        <f>L59*SUM(O$37:O59)*B$5</f>
        <v>543674.51434098417</v>
      </c>
      <c r="Q59" s="63">
        <f t="shared" si="10"/>
        <v>20496529.190655105</v>
      </c>
      <c r="R59" s="70">
        <f t="shared" si="11"/>
        <v>368937525431.79187</v>
      </c>
      <c r="S59" s="70">
        <f t="shared" si="12"/>
        <v>261959322631.86221</v>
      </c>
      <c r="T59" s="70">
        <f t="shared" si="13"/>
        <v>37552888984.399643</v>
      </c>
      <c r="U59" s="70">
        <f t="shared" si="14"/>
        <v>17022185076.080919</v>
      </c>
      <c r="V59" s="70">
        <f t="shared" si="24"/>
        <v>2700000000</v>
      </c>
      <c r="W59" s="71">
        <f t="shared" si="15"/>
        <v>1223871210.6680076</v>
      </c>
    </row>
    <row r="60" spans="1:23" x14ac:dyDescent="0.2">
      <c r="B60" s="82"/>
      <c r="C60" s="81"/>
      <c r="D60" s="81"/>
      <c r="E60" s="81"/>
      <c r="F60" s="81"/>
      <c r="H60" s="74"/>
      <c r="I60" s="24"/>
      <c r="J60" s="63"/>
      <c r="K60" s="63">
        <v>24</v>
      </c>
      <c r="L60" s="63">
        <f t="shared" si="16"/>
        <v>1159775.7420134821</v>
      </c>
      <c r="M60" s="63"/>
      <c r="N60" s="63">
        <v>24</v>
      </c>
      <c r="O60" s="63">
        <f t="shared" si="18"/>
        <v>3.4061631211994604E-2</v>
      </c>
      <c r="P60" s="63">
        <f>L60*SUM(O$37:O60)*B$5</f>
        <v>578250.31679565227</v>
      </c>
      <c r="Q60" s="63">
        <f t="shared" si="10"/>
        <v>21800036.943196092</v>
      </c>
      <c r="R60" s="70">
        <f t="shared" si="11"/>
        <v>392400664977.52966</v>
      </c>
      <c r="S60" s="70">
        <f t="shared" si="12"/>
        <v>274501499194.68185</v>
      </c>
      <c r="T60" s="70">
        <f t="shared" si="13"/>
        <v>39941121717.178307</v>
      </c>
      <c r="U60" s="70">
        <f t="shared" si="14"/>
        <v>17492499191.784313</v>
      </c>
      <c r="V60" s="70">
        <f t="shared" si="24"/>
        <v>2700000000</v>
      </c>
      <c r="W60" s="71">
        <f t="shared" si="15"/>
        <v>1182484261.5149832</v>
      </c>
    </row>
    <row r="61" spans="1:23" x14ac:dyDescent="0.2">
      <c r="A61" s="87"/>
      <c r="B61" s="103"/>
      <c r="C61" s="86"/>
      <c r="D61" s="86"/>
      <c r="E61" s="86"/>
      <c r="F61" s="86"/>
      <c r="H61" s="69" t="s">
        <v>29</v>
      </c>
      <c r="I61" s="22"/>
      <c r="J61" s="63"/>
      <c r="K61" s="63">
        <v>25</v>
      </c>
      <c r="L61" s="63">
        <f t="shared" si="16"/>
        <v>1182971.2568537516</v>
      </c>
      <c r="M61" s="63"/>
      <c r="N61" s="63">
        <v>25</v>
      </c>
      <c r="O61" s="63">
        <f t="shared" si="18"/>
        <v>3.3380398587754712E-2</v>
      </c>
      <c r="P61" s="63">
        <f>L61*SUM(O$37:O61)*B$5</f>
        <v>613508.15437454649</v>
      </c>
      <c r="Q61" s="63">
        <f t="shared" si="10"/>
        <v>23129257.419920404</v>
      </c>
      <c r="R61" s="70">
        <f t="shared" si="11"/>
        <v>416326633558.56726</v>
      </c>
      <c r="S61" s="70">
        <f t="shared" si="12"/>
        <v>286934743875.67517</v>
      </c>
      <c r="T61" s="70">
        <f t="shared" si="13"/>
        <v>42376464234.631302</v>
      </c>
      <c r="U61" s="70">
        <f t="shared" si="14"/>
        <v>17931473256.791592</v>
      </c>
      <c r="V61" s="70">
        <f t="shared" si="24"/>
        <v>2700000000</v>
      </c>
      <c r="W61" s="71">
        <f t="shared" si="15"/>
        <v>1142496871.0289695</v>
      </c>
    </row>
    <row r="62" spans="1:23" x14ac:dyDescent="0.2">
      <c r="A62" s="87"/>
      <c r="B62" s="103"/>
      <c r="C62" s="86"/>
      <c r="D62" s="86"/>
      <c r="E62" s="86"/>
      <c r="F62" s="86"/>
      <c r="H62" s="69" t="s">
        <v>13</v>
      </c>
      <c r="I62" s="43" t="s">
        <v>1</v>
      </c>
      <c r="J62" s="63"/>
      <c r="K62" s="63">
        <v>26</v>
      </c>
      <c r="L62" s="63">
        <f t="shared" si="16"/>
        <v>1206630.681990827</v>
      </c>
      <c r="M62" s="63"/>
      <c r="N62" s="63">
        <v>26</v>
      </c>
      <c r="O62" s="63">
        <f t="shared" si="18"/>
        <v>3.2712790615999618E-2</v>
      </c>
      <c r="P62" s="63">
        <f>L62*SUM(O$37:O62)*B$5</f>
        <v>649461.67157252168</v>
      </c>
      <c r="Q62" s="63">
        <f t="shared" si="10"/>
        <v>24484705.018284068</v>
      </c>
      <c r="R62" s="70">
        <f t="shared" si="11"/>
        <v>440724690329.11322</v>
      </c>
      <c r="S62" s="70">
        <f t="shared" si="12"/>
        <v>299261110238.42297</v>
      </c>
      <c r="T62" s="70">
        <f t="shared" si="13"/>
        <v>44859858994.400139</v>
      </c>
      <c r="U62" s="70">
        <f t="shared" si="14"/>
        <v>18340400263.339748</v>
      </c>
      <c r="V62" s="70">
        <f t="shared" si="24"/>
        <v>2700000000</v>
      </c>
      <c r="W62" s="71">
        <f t="shared" si="15"/>
        <v>1103861711.1391008</v>
      </c>
    </row>
    <row r="63" spans="1:23" x14ac:dyDescent="0.2">
      <c r="A63" s="87"/>
      <c r="B63" s="97"/>
      <c r="C63" s="75"/>
      <c r="D63" s="75"/>
      <c r="E63" s="75"/>
      <c r="F63" s="75"/>
      <c r="H63" s="73" t="s">
        <v>47</v>
      </c>
      <c r="I63" s="22">
        <f>SUM(W37:W66)</f>
        <v>38917818536.234184</v>
      </c>
      <c r="J63" s="63"/>
      <c r="K63" s="63">
        <v>27</v>
      </c>
      <c r="L63" s="63">
        <f t="shared" si="16"/>
        <v>1230763.2956306431</v>
      </c>
      <c r="M63" s="63"/>
      <c r="N63" s="63">
        <v>27</v>
      </c>
      <c r="O63" s="63">
        <f t="shared" si="18"/>
        <v>3.2058534803679622E-2</v>
      </c>
      <c r="P63" s="63">
        <f>L63*SUM(O$37:O63)*B$5</f>
        <v>686124.78577281174</v>
      </c>
      <c r="Q63" s="63">
        <f t="shared" si="10"/>
        <v>25866904.423635006</v>
      </c>
      <c r="R63" s="70">
        <f t="shared" si="11"/>
        <v>465604279625.43011</v>
      </c>
      <c r="S63" s="70">
        <f t="shared" si="12"/>
        <v>311482622663.39325</v>
      </c>
      <c r="T63" s="70">
        <f t="shared" si="13"/>
        <v>47392267303.174286</v>
      </c>
      <c r="U63" s="70">
        <f t="shared" si="14"/>
        <v>18720525775.646317</v>
      </c>
      <c r="V63" s="70">
        <f t="shared" si="24"/>
        <v>2700000000</v>
      </c>
      <c r="W63" s="71">
        <f t="shared" si="15"/>
        <v>1066533054.2406772</v>
      </c>
    </row>
    <row r="64" spans="1:23" x14ac:dyDescent="0.2">
      <c r="A64" s="87"/>
      <c r="B64" s="103"/>
      <c r="C64" s="86"/>
      <c r="D64" s="86"/>
      <c r="E64" s="86"/>
      <c r="F64" s="86"/>
      <c r="H64" s="73"/>
      <c r="I64" s="22"/>
      <c r="J64" s="63"/>
      <c r="K64" s="63">
        <v>28</v>
      </c>
      <c r="L64" s="63">
        <f t="shared" si="16"/>
        <v>1255378.5615432565</v>
      </c>
      <c r="M64" s="63"/>
      <c r="N64" s="63">
        <v>28</v>
      </c>
      <c r="O64" s="63">
        <f t="shared" si="18"/>
        <v>3.1417364107606031E-2</v>
      </c>
      <c r="P64" s="63">
        <f>L64*SUM(O$37:O64)*B$5</f>
        <v>723511.69270480063</v>
      </c>
      <c r="Q64" s="63">
        <f t="shared" si="10"/>
        <v>27276390.814970985</v>
      </c>
      <c r="R64" s="70">
        <f t="shared" si="11"/>
        <v>490975034669.47772</v>
      </c>
      <c r="S64" s="70">
        <f t="shared" si="12"/>
        <v>323601276800.44641</v>
      </c>
      <c r="T64" s="70">
        <f t="shared" si="13"/>
        <v>49974669693.672401</v>
      </c>
      <c r="U64" s="70">
        <f t="shared" si="14"/>
        <v>19073049598.519035</v>
      </c>
      <c r="V64" s="70">
        <f t="shared" si="24"/>
        <v>2700000000</v>
      </c>
      <c r="W64" s="71">
        <f t="shared" si="15"/>
        <v>1030466719.0731183</v>
      </c>
    </row>
    <row r="65" spans="1:23" x14ac:dyDescent="0.2">
      <c r="A65" s="87"/>
      <c r="B65" s="105"/>
      <c r="C65" s="50"/>
      <c r="D65" s="50"/>
      <c r="E65" s="50"/>
      <c r="F65" s="50"/>
      <c r="H65" s="45" t="s">
        <v>32</v>
      </c>
      <c r="I65" s="25">
        <f>+I59-I63</f>
        <v>4835245676603.9609</v>
      </c>
      <c r="J65" s="63"/>
      <c r="K65" s="63">
        <v>29</v>
      </c>
      <c r="L65" s="63">
        <f t="shared" si="16"/>
        <v>1280486.1327741211</v>
      </c>
      <c r="M65" s="63"/>
      <c r="N65" s="63">
        <v>29</v>
      </c>
      <c r="O65" s="63">
        <f t="shared" si="18"/>
        <v>3.0789016825453909E-2</v>
      </c>
      <c r="P65" s="63">
        <f>L65*SUM(O$37:O65)*B$5</f>
        <v>761636.87201094197</v>
      </c>
      <c r="Q65" s="63">
        <f t="shared" si="10"/>
        <v>28713710.074812513</v>
      </c>
      <c r="R65" s="70">
        <f t="shared" si="11"/>
        <v>516846781346.62524</v>
      </c>
      <c r="S65" s="70">
        <f t="shared" si="12"/>
        <v>335619040014.52063</v>
      </c>
      <c r="T65" s="70">
        <f t="shared" si="13"/>
        <v>52608066309.162659</v>
      </c>
      <c r="U65" s="70">
        <f t="shared" si="14"/>
        <v>19399127388.221107</v>
      </c>
      <c r="V65" s="70">
        <f t="shared" si="24"/>
        <v>2700000000</v>
      </c>
      <c r="W65" s="71">
        <f t="shared" si="15"/>
        <v>995620018.42813349</v>
      </c>
    </row>
    <row r="66" spans="1:23" ht="16" thickBot="1" x14ac:dyDescent="0.25">
      <c r="A66" s="87"/>
      <c r="B66" s="106"/>
      <c r="C66" s="51"/>
      <c r="D66" s="51"/>
      <c r="E66" s="51"/>
      <c r="F66" s="51"/>
      <c r="H66" s="48" t="s">
        <v>33</v>
      </c>
      <c r="I66" s="28">
        <f>I59/ I63</f>
        <v>125.24246420960458</v>
      </c>
      <c r="J66" s="77"/>
      <c r="K66" s="77">
        <v>30</v>
      </c>
      <c r="L66" s="77">
        <f t="shared" si="16"/>
        <v>1306095.8554296037</v>
      </c>
      <c r="M66" s="77"/>
      <c r="N66" s="77">
        <v>30</v>
      </c>
      <c r="O66" s="77">
        <f>O65*$B$15</f>
        <v>3.0173236488944832E-2</v>
      </c>
      <c r="P66" s="77">
        <f>L66*SUM(O$37:O66)*B$5</f>
        <v>800515.09292502573</v>
      </c>
      <c r="Q66" s="77">
        <f t="shared" si="10"/>
        <v>30179419.003273472</v>
      </c>
      <c r="R66" s="78">
        <f t="shared" si="11"/>
        <v>543229542058.92249</v>
      </c>
      <c r="S66" s="78">
        <f t="shared" si="12"/>
        <v>347537851824.60645</v>
      </c>
      <c r="T66" s="78">
        <f t="shared" si="13"/>
        <v>55293477295.674103</v>
      </c>
      <c r="U66" s="78">
        <f t="shared" si="14"/>
        <v>19699872207.577255</v>
      </c>
      <c r="V66" s="78">
        <f t="shared" si="24"/>
        <v>2700000000</v>
      </c>
      <c r="W66" s="79">
        <f t="shared" si="15"/>
        <v>961951708.62621605</v>
      </c>
    </row>
    <row r="67" spans="1:23" x14ac:dyDescent="0.2">
      <c r="K67" s="88"/>
      <c r="L67" s="88"/>
      <c r="N67" s="88"/>
      <c r="O67" s="63"/>
    </row>
    <row r="68" spans="1:23" x14ac:dyDescent="0.2">
      <c r="K68" s="88"/>
      <c r="L68" s="88"/>
      <c r="N68" s="88"/>
      <c r="O68" s="63"/>
    </row>
    <row r="69" spans="1:23" x14ac:dyDescent="0.2">
      <c r="K69" s="88"/>
      <c r="L69" s="88"/>
      <c r="N69" s="88"/>
      <c r="O69" s="63"/>
    </row>
    <row r="70" spans="1:23" x14ac:dyDescent="0.2">
      <c r="K70" s="88"/>
      <c r="L70" s="88"/>
      <c r="N70" s="88"/>
      <c r="O70" s="63"/>
    </row>
    <row r="71" spans="1:23" x14ac:dyDescent="0.2">
      <c r="K71" s="88"/>
      <c r="L71" s="88"/>
      <c r="N71" s="88"/>
      <c r="O71" s="63"/>
    </row>
    <row r="72" spans="1:23" x14ac:dyDescent="0.2">
      <c r="O72" s="76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A05B0-79EB-8D41-8FA7-40C76A98B475}">
  <dimension ref="A1:W72"/>
  <sheetViews>
    <sheetView workbookViewId="0">
      <selection activeCell="B19" sqref="B19"/>
    </sheetView>
  </sheetViews>
  <sheetFormatPr baseColWidth="10" defaultColWidth="8.83203125" defaultRowHeight="15" x14ac:dyDescent="0.2"/>
  <cols>
    <col min="1" max="1" width="58.1640625" style="56" customWidth="1"/>
    <col min="2" max="2" width="26.6640625" style="96" customWidth="1"/>
    <col min="3" max="3" width="26" style="72" customWidth="1"/>
    <col min="4" max="4" width="17.33203125" style="72" customWidth="1"/>
    <col min="5" max="5" width="15.33203125" style="72" customWidth="1"/>
    <col min="6" max="6" width="16.1640625" style="72" customWidth="1"/>
    <col min="7" max="7" width="8.83203125" style="56"/>
    <col min="8" max="8" width="39.83203125" style="56" customWidth="1"/>
    <col min="9" max="9" width="20.83203125" style="29" bestFit="1" customWidth="1"/>
    <col min="10" max="10" width="8.6640625" style="56" customWidth="1"/>
    <col min="11" max="11" width="15.33203125" style="56" customWidth="1"/>
    <col min="12" max="12" width="8.5" style="56" customWidth="1"/>
    <col min="13" max="13" width="15.83203125" style="56" bestFit="1" customWidth="1"/>
    <col min="14" max="14" width="8.83203125" style="56"/>
    <col min="15" max="15" width="15.5" style="56" bestFit="1" customWidth="1"/>
    <col min="16" max="16" width="15.5" style="56" customWidth="1"/>
    <col min="17" max="17" width="19.5" style="56" bestFit="1" customWidth="1"/>
    <col min="18" max="18" width="27.33203125" style="56" bestFit="1" customWidth="1"/>
    <col min="19" max="19" width="29.1640625" style="56" bestFit="1" customWidth="1"/>
    <col min="20" max="21" width="29.1640625" style="56" customWidth="1"/>
    <col min="22" max="23" width="17" style="56" bestFit="1" customWidth="1"/>
    <col min="24" max="16384" width="8.83203125" style="56"/>
  </cols>
  <sheetData>
    <row r="1" spans="1:23" ht="16" thickBot="1" x14ac:dyDescent="0.25">
      <c r="A1" s="54" t="s">
        <v>0</v>
      </c>
      <c r="B1" s="93"/>
      <c r="C1" s="55"/>
      <c r="D1" s="55"/>
      <c r="E1" s="55"/>
      <c r="F1" s="55"/>
      <c r="H1" s="38" t="s">
        <v>102</v>
      </c>
      <c r="I1" s="20"/>
      <c r="J1" s="57"/>
      <c r="K1" s="58" t="s">
        <v>17</v>
      </c>
      <c r="L1" s="59"/>
      <c r="M1" s="57"/>
      <c r="N1" s="58" t="s">
        <v>18</v>
      </c>
      <c r="O1" s="58"/>
      <c r="P1" s="58"/>
      <c r="Q1" s="57"/>
      <c r="R1" s="57"/>
      <c r="S1" s="57"/>
      <c r="T1" s="57"/>
      <c r="U1" s="57"/>
      <c r="V1" s="57"/>
      <c r="W1" s="60"/>
    </row>
    <row r="2" spans="1:23" ht="16" x14ac:dyDescent="0.2">
      <c r="A2" s="54" t="s">
        <v>13</v>
      </c>
      <c r="B2" s="94" t="s">
        <v>1</v>
      </c>
      <c r="C2" s="61"/>
      <c r="D2" s="61"/>
      <c r="E2" s="61"/>
      <c r="F2" s="61"/>
      <c r="H2" s="62" t="s">
        <v>43</v>
      </c>
      <c r="I2" s="21">
        <v>10</v>
      </c>
      <c r="J2" s="63"/>
      <c r="K2" s="64" t="s">
        <v>16</v>
      </c>
      <c r="L2" s="64" t="s">
        <v>52</v>
      </c>
      <c r="M2" s="63"/>
      <c r="N2" s="64" t="s">
        <v>16</v>
      </c>
      <c r="O2" s="65" t="s">
        <v>44</v>
      </c>
      <c r="P2" s="65" t="s">
        <v>19</v>
      </c>
      <c r="Q2" s="65" t="s">
        <v>26</v>
      </c>
      <c r="R2" s="65" t="s">
        <v>27</v>
      </c>
      <c r="S2" s="65" t="s">
        <v>28</v>
      </c>
      <c r="T2" s="65" t="s">
        <v>38</v>
      </c>
      <c r="U2" s="65" t="s">
        <v>40</v>
      </c>
      <c r="V2" s="66" t="s">
        <v>30</v>
      </c>
      <c r="W2" s="67" t="s">
        <v>31</v>
      </c>
    </row>
    <row r="3" spans="1:23" x14ac:dyDescent="0.2">
      <c r="A3" s="56" t="s">
        <v>2</v>
      </c>
      <c r="B3" s="95">
        <v>4500000000</v>
      </c>
      <c r="C3" s="68"/>
      <c r="D3" s="68"/>
      <c r="E3" s="68"/>
      <c r="F3" s="68"/>
      <c r="H3" s="69" t="s">
        <v>12</v>
      </c>
      <c r="I3" s="22"/>
      <c r="J3" s="63"/>
      <c r="K3" s="63">
        <v>1</v>
      </c>
      <c r="L3" s="63">
        <f t="shared" ref="L3:L32" si="0">B$6*(B$10^K3)</f>
        <v>3565.0055172413795</v>
      </c>
      <c r="M3" s="63"/>
      <c r="N3" s="63">
        <v>1</v>
      </c>
      <c r="O3" s="63">
        <v>0</v>
      </c>
      <c r="P3" s="63">
        <f>L3*SUM(O$3:O3)*B$5</f>
        <v>0</v>
      </c>
      <c r="Q3" s="63">
        <f t="shared" ref="Q3:Q32" si="1">B$19*P3</f>
        <v>0</v>
      </c>
      <c r="R3" s="70">
        <f t="shared" ref="R3:R32" si="2">Q3*B$8</f>
        <v>0</v>
      </c>
      <c r="S3" s="70">
        <f t="shared" ref="S3:S32" si="3">R3*(B$17^N3)</f>
        <v>0</v>
      </c>
      <c r="T3" s="70">
        <f t="shared" ref="T3:T32" si="4">P3*B$16</f>
        <v>0</v>
      </c>
      <c r="U3" s="70">
        <f t="shared" ref="U3:U32" si="5">T3*(B$18^N3)</f>
        <v>0</v>
      </c>
      <c r="V3" s="70">
        <f t="shared" ref="V3:V12" si="6">B$5*N3*(B$3/10)*B$4</f>
        <v>10701055.566620193</v>
      </c>
      <c r="W3" s="71">
        <f t="shared" ref="W3:W32" si="7">V3*(B$18^N3)</f>
        <v>10339184.122338353</v>
      </c>
    </row>
    <row r="4" spans="1:23" x14ac:dyDescent="0.2">
      <c r="A4" s="56" t="s">
        <v>94</v>
      </c>
      <c r="B4" s="96">
        <f>'Fair Share Calculation'!C5</f>
        <v>3.9633539135630343E-2</v>
      </c>
      <c r="H4" s="69" t="s">
        <v>13</v>
      </c>
      <c r="I4" s="43" t="s">
        <v>1</v>
      </c>
      <c r="J4" s="63"/>
      <c r="K4" s="63">
        <v>2</v>
      </c>
      <c r="L4" s="63">
        <f t="shared" si="0"/>
        <v>3636.3056275862073</v>
      </c>
      <c r="M4" s="63"/>
      <c r="N4" s="63">
        <v>2</v>
      </c>
      <c r="O4" s="63">
        <v>0</v>
      </c>
      <c r="P4" s="63">
        <f>L4*SUM(O$3:O4)*B$5</f>
        <v>0</v>
      </c>
      <c r="Q4" s="63">
        <f t="shared" si="1"/>
        <v>0</v>
      </c>
      <c r="R4" s="70">
        <f t="shared" si="2"/>
        <v>0</v>
      </c>
      <c r="S4" s="70">
        <f t="shared" si="3"/>
        <v>0</v>
      </c>
      <c r="T4" s="70">
        <f t="shared" si="4"/>
        <v>0</v>
      </c>
      <c r="U4" s="70">
        <f t="shared" si="5"/>
        <v>0</v>
      </c>
      <c r="V4" s="70">
        <f t="shared" si="6"/>
        <v>21402111.133240387</v>
      </c>
      <c r="W4" s="71">
        <f t="shared" si="7"/>
        <v>19979099.753310826</v>
      </c>
    </row>
    <row r="5" spans="1:23" x14ac:dyDescent="0.2">
      <c r="A5" s="56" t="s">
        <v>42</v>
      </c>
      <c r="B5" s="96">
        <v>0.6</v>
      </c>
      <c r="H5" s="73" t="s">
        <v>22</v>
      </c>
      <c r="I5" s="23">
        <f>SUM(P3:P12)</f>
        <v>2512.1161098022044</v>
      </c>
      <c r="J5" s="63"/>
      <c r="K5" s="63">
        <v>3</v>
      </c>
      <c r="L5" s="63">
        <f t="shared" si="0"/>
        <v>3709.0317401379311</v>
      </c>
      <c r="M5" s="63"/>
      <c r="N5" s="63">
        <v>3</v>
      </c>
      <c r="O5" s="63">
        <v>0</v>
      </c>
      <c r="P5" s="63">
        <f>L5*SUM(O$3:O5)*B$5</f>
        <v>0</v>
      </c>
      <c r="Q5" s="63">
        <f t="shared" si="1"/>
        <v>0</v>
      </c>
      <c r="R5" s="70">
        <f t="shared" si="2"/>
        <v>0</v>
      </c>
      <c r="S5" s="70">
        <f t="shared" si="3"/>
        <v>0</v>
      </c>
      <c r="T5" s="70">
        <f t="shared" si="4"/>
        <v>0</v>
      </c>
      <c r="U5" s="70">
        <f t="shared" si="5"/>
        <v>0</v>
      </c>
      <c r="V5" s="70">
        <f t="shared" si="6"/>
        <v>32103166.699860573</v>
      </c>
      <c r="W5" s="71">
        <f t="shared" si="7"/>
        <v>28955217.033783801</v>
      </c>
    </row>
    <row r="6" spans="1:23" x14ac:dyDescent="0.2">
      <c r="A6" s="87" t="s">
        <v>95</v>
      </c>
      <c r="B6" s="117">
        <f>B62*B42</f>
        <v>3495.1034482758623</v>
      </c>
      <c r="H6" s="73" t="s">
        <v>23</v>
      </c>
      <c r="I6" s="22">
        <f>I5*B$19</f>
        <v>50211.539739717264</v>
      </c>
      <c r="J6" s="63"/>
      <c r="K6" s="63">
        <v>4</v>
      </c>
      <c r="L6" s="63">
        <f t="shared" si="0"/>
        <v>3783.2123749406896</v>
      </c>
      <c r="M6" s="63"/>
      <c r="N6" s="63">
        <v>4</v>
      </c>
      <c r="O6" s="63">
        <v>0</v>
      </c>
      <c r="P6" s="63">
        <f>L6*SUM(O$3:O6)*B$5</f>
        <v>0</v>
      </c>
      <c r="Q6" s="63">
        <f t="shared" si="1"/>
        <v>0</v>
      </c>
      <c r="R6" s="70">
        <f t="shared" si="2"/>
        <v>0</v>
      </c>
      <c r="S6" s="70">
        <f t="shared" si="3"/>
        <v>0</v>
      </c>
      <c r="T6" s="70">
        <f t="shared" si="4"/>
        <v>0</v>
      </c>
      <c r="U6" s="70">
        <f t="shared" si="5"/>
        <v>0</v>
      </c>
      <c r="V6" s="70">
        <f t="shared" si="6"/>
        <v>42804222.266480774</v>
      </c>
      <c r="W6" s="71">
        <f t="shared" si="7"/>
        <v>37301406.80680684</v>
      </c>
    </row>
    <row r="7" spans="1:23" x14ac:dyDescent="0.2">
      <c r="A7" s="56" t="s">
        <v>36</v>
      </c>
      <c r="B7" s="96">
        <f>1270000*B12</f>
        <v>927100</v>
      </c>
      <c r="H7" s="73" t="s">
        <v>37</v>
      </c>
      <c r="I7" s="22">
        <f>SUM(S3:S12)</f>
        <v>1712323841.1320825</v>
      </c>
      <c r="J7" s="63"/>
      <c r="K7" s="63">
        <v>5</v>
      </c>
      <c r="L7" s="63">
        <f t="shared" si="0"/>
        <v>3858.876622439504</v>
      </c>
      <c r="M7" s="63"/>
      <c r="N7" s="63">
        <v>5</v>
      </c>
      <c r="O7" s="63">
        <f>B$14</f>
        <v>0.05</v>
      </c>
      <c r="P7" s="63">
        <f>L7*SUM(O$3:O7)*B$5</f>
        <v>115.76629867318513</v>
      </c>
      <c r="Q7" s="63">
        <f t="shared" si="1"/>
        <v>2313.9074199903498</v>
      </c>
      <c r="R7" s="70">
        <f t="shared" si="2"/>
        <v>89340054.825882226</v>
      </c>
      <c r="S7" s="70">
        <f t="shared" si="3"/>
        <v>82930828.364431143</v>
      </c>
      <c r="T7" s="70">
        <f t="shared" si="4"/>
        <v>23176436.170807838</v>
      </c>
      <c r="U7" s="70">
        <f t="shared" si="5"/>
        <v>19513937.35922952</v>
      </c>
      <c r="V7" s="70">
        <f t="shared" si="6"/>
        <v>53505277.83310096</v>
      </c>
      <c r="W7" s="71">
        <f t="shared" si="7"/>
        <v>45050008.220781207</v>
      </c>
    </row>
    <row r="8" spans="1:23" x14ac:dyDescent="0.2">
      <c r="A8" s="56" t="s">
        <v>101</v>
      </c>
      <c r="B8" s="95">
        <f>B30</f>
        <v>38610.038610038609</v>
      </c>
      <c r="C8" s="68"/>
      <c r="D8" s="68"/>
      <c r="E8" s="68"/>
      <c r="F8" s="68"/>
      <c r="H8" s="73" t="s">
        <v>41</v>
      </c>
      <c r="I8" s="22">
        <f>SUM(U3:U12)</f>
        <v>377787923.62633562</v>
      </c>
      <c r="J8" s="63"/>
      <c r="K8" s="63">
        <v>6</v>
      </c>
      <c r="L8" s="63">
        <f t="shared" si="0"/>
        <v>3936.0541548882939</v>
      </c>
      <c r="M8" s="63"/>
      <c r="N8" s="63">
        <v>6</v>
      </c>
      <c r="O8" s="63">
        <f>O7*$B$15</f>
        <v>4.9000000000000002E-2</v>
      </c>
      <c r="P8" s="63">
        <f>L8*SUM(O$3:O8)*B$5</f>
        <v>233.80161680036463</v>
      </c>
      <c r="Q8" s="63">
        <f t="shared" si="1"/>
        <v>4673.1674254125091</v>
      </c>
      <c r="R8" s="70">
        <f t="shared" si="2"/>
        <v>180431174.72635171</v>
      </c>
      <c r="S8" s="70">
        <f t="shared" si="3"/>
        <v>165011922.13281295</v>
      </c>
      <c r="T8" s="70">
        <f t="shared" si="4"/>
        <v>46807130.490563497</v>
      </c>
      <c r="U8" s="70">
        <f t="shared" si="5"/>
        <v>38077630.81227047</v>
      </c>
      <c r="V8" s="70">
        <f t="shared" si="6"/>
        <v>64206333.399721146</v>
      </c>
      <c r="W8" s="71">
        <f t="shared" si="7"/>
        <v>52231893.58931154</v>
      </c>
    </row>
    <row r="9" spans="1:23" x14ac:dyDescent="0.2">
      <c r="A9" s="56" t="s">
        <v>15</v>
      </c>
      <c r="B9" s="95">
        <f>18000</f>
        <v>18000</v>
      </c>
      <c r="C9" s="68"/>
      <c r="D9" s="68"/>
      <c r="E9" s="68"/>
      <c r="F9" s="68"/>
      <c r="H9" s="73" t="s">
        <v>39</v>
      </c>
      <c r="I9" s="22">
        <f>I7+I8</f>
        <v>2090111764.7584181</v>
      </c>
      <c r="J9" s="63"/>
      <c r="K9" s="63">
        <v>7</v>
      </c>
      <c r="L9" s="63">
        <f t="shared" si="0"/>
        <v>4014.775237986059</v>
      </c>
      <c r="M9" s="63"/>
      <c r="N9" s="63">
        <v>7</v>
      </c>
      <c r="O9" s="63">
        <f t="shared" ref="O9:O32" si="8">O8*$B$15</f>
        <v>4.802E-2</v>
      </c>
      <c r="P9" s="63">
        <f>L9*SUM(O$3:O9)*B$5</f>
        <v>354.15135329322629</v>
      </c>
      <c r="Q9" s="63">
        <f t="shared" si="1"/>
        <v>7078.6874382003043</v>
      </c>
      <c r="R9" s="70">
        <f t="shared" si="2"/>
        <v>273308395.29730904</v>
      </c>
      <c r="S9" s="70">
        <f t="shared" si="3"/>
        <v>246258186.27462295</v>
      </c>
      <c r="T9" s="70">
        <f t="shared" si="4"/>
        <v>70901171.830475748</v>
      </c>
      <c r="U9" s="70">
        <f t="shared" si="5"/>
        <v>55727680.160644174</v>
      </c>
      <c r="V9" s="70">
        <f t="shared" si="6"/>
        <v>74907388.966341347</v>
      </c>
      <c r="W9" s="71">
        <f t="shared" si="7"/>
        <v>58876530.615971155</v>
      </c>
    </row>
    <row r="10" spans="1:23" x14ac:dyDescent="0.2">
      <c r="A10" s="56" t="s">
        <v>4</v>
      </c>
      <c r="B10" s="96">
        <v>1.02</v>
      </c>
      <c r="H10" s="74"/>
      <c r="I10" s="24"/>
      <c r="J10" s="63"/>
      <c r="K10" s="63">
        <v>8</v>
      </c>
      <c r="L10" s="63">
        <f t="shared" si="0"/>
        <v>4095.0707427457805</v>
      </c>
      <c r="M10" s="63"/>
      <c r="N10" s="63">
        <v>8</v>
      </c>
      <c r="O10" s="63">
        <f t="shared" si="8"/>
        <v>4.70596E-2</v>
      </c>
      <c r="P10" s="63">
        <f>L10*SUM(O$3:O10)*B$5</f>
        <v>476.86181503428242</v>
      </c>
      <c r="Q10" s="63">
        <f t="shared" si="1"/>
        <v>9531.3930285781425</v>
      </c>
      <c r="R10" s="70">
        <f t="shared" si="2"/>
        <v>368007452.84085494</v>
      </c>
      <c r="S10" s="70">
        <f t="shared" si="3"/>
        <v>326684309.52849418</v>
      </c>
      <c r="T10" s="70">
        <f t="shared" si="4"/>
        <v>95467830.837694183</v>
      </c>
      <c r="U10" s="70">
        <f t="shared" si="5"/>
        <v>72499373.985043079</v>
      </c>
      <c r="V10" s="70">
        <f t="shared" si="6"/>
        <v>85608444.532961547</v>
      </c>
      <c r="W10" s="71">
        <f t="shared" si="7"/>
        <v>65012042.088028885</v>
      </c>
    </row>
    <row r="11" spans="1:23" x14ac:dyDescent="0.2">
      <c r="A11" s="56" t="s">
        <v>5</v>
      </c>
      <c r="B11" s="96">
        <v>1.02</v>
      </c>
      <c r="H11" s="69" t="s">
        <v>29</v>
      </c>
      <c r="I11" s="22"/>
      <c r="J11" s="63"/>
      <c r="K11" s="63">
        <v>9</v>
      </c>
      <c r="L11" s="63">
        <f t="shared" si="0"/>
        <v>4176.9721576006959</v>
      </c>
      <c r="M11" s="63"/>
      <c r="N11" s="63">
        <v>9</v>
      </c>
      <c r="O11" s="63">
        <f t="shared" si="8"/>
        <v>4.6118408E-2</v>
      </c>
      <c r="P11" s="63">
        <f>L11*SUM(O$3:O11)*B$5</f>
        <v>601.98023503628951</v>
      </c>
      <c r="Q11" s="63">
        <f t="shared" si="1"/>
        <v>12032.228278026892</v>
      </c>
      <c r="R11" s="70">
        <f t="shared" si="2"/>
        <v>464564798.3794167</v>
      </c>
      <c r="S11" s="70">
        <f t="shared" si="3"/>
        <v>406304767.73179424</v>
      </c>
      <c r="T11" s="70">
        <f t="shared" si="4"/>
        <v>120516563.57082875</v>
      </c>
      <c r="U11" s="70">
        <f t="shared" si="5"/>
        <v>88426735.353775606</v>
      </c>
      <c r="V11" s="70">
        <f t="shared" si="6"/>
        <v>96309500.099581718</v>
      </c>
      <c r="W11" s="71">
        <f t="shared" si="7"/>
        <v>70665263.139161825</v>
      </c>
    </row>
    <row r="12" spans="1:23" x14ac:dyDescent="0.2">
      <c r="A12" s="56" t="s">
        <v>77</v>
      </c>
      <c r="B12" s="96">
        <v>0.73</v>
      </c>
      <c r="H12" s="69" t="s">
        <v>13</v>
      </c>
      <c r="I12" s="43" t="s">
        <v>1</v>
      </c>
      <c r="J12" s="63"/>
      <c r="K12" s="63">
        <v>10</v>
      </c>
      <c r="L12" s="63">
        <f t="shared" si="0"/>
        <v>4260.5116007527104</v>
      </c>
      <c r="M12" s="63"/>
      <c r="N12" s="63">
        <v>10</v>
      </c>
      <c r="O12" s="63">
        <f t="shared" si="8"/>
        <v>4.519603984E-2</v>
      </c>
      <c r="P12" s="63">
        <f>L12*SUM(O$3:O12)*B$5</f>
        <v>729.55479096485635</v>
      </c>
      <c r="Q12" s="63">
        <f t="shared" si="1"/>
        <v>14582.156149509066</v>
      </c>
      <c r="R12" s="70">
        <f t="shared" si="2"/>
        <v>563017611.95015705</v>
      </c>
      <c r="S12" s="70">
        <f t="shared" si="3"/>
        <v>485133827.09992689</v>
      </c>
      <c r="T12" s="70">
        <f t="shared" si="4"/>
        <v>146057015.20817947</v>
      </c>
      <c r="U12" s="70">
        <f t="shared" si="5"/>
        <v>103542565.95537274</v>
      </c>
      <c r="V12" s="70">
        <f t="shared" si="6"/>
        <v>107010555.66620192</v>
      </c>
      <c r="W12" s="71">
        <f t="shared" si="7"/>
        <v>75861796.177307397</v>
      </c>
    </row>
    <row r="13" spans="1:23" x14ac:dyDescent="0.2">
      <c r="A13" s="56" t="s">
        <v>7</v>
      </c>
      <c r="B13" s="96">
        <v>4</v>
      </c>
      <c r="H13" s="73" t="s">
        <v>104</v>
      </c>
      <c r="I13" s="22">
        <f>SUM(W3:W12)</f>
        <v>464272441.54680181</v>
      </c>
      <c r="J13" s="63"/>
      <c r="K13" s="63">
        <v>11</v>
      </c>
      <c r="L13" s="63">
        <f t="shared" si="0"/>
        <v>4345.7218327677638</v>
      </c>
      <c r="M13" s="63"/>
      <c r="N13" s="63">
        <v>11</v>
      </c>
      <c r="O13" s="63">
        <f t="shared" si="8"/>
        <v>4.4292119043199997E-2</v>
      </c>
      <c r="P13" s="63">
        <f>L13*SUM(O$3:O13)*B$5</f>
        <v>859.63462403150322</v>
      </c>
      <c r="Q13" s="63">
        <f t="shared" si="1"/>
        <v>17182.158865098514</v>
      </c>
      <c r="R13" s="70">
        <f t="shared" si="2"/>
        <v>663403817.18527079</v>
      </c>
      <c r="S13" s="70">
        <f t="shared" si="3"/>
        <v>563185547.45612073</v>
      </c>
      <c r="T13" s="70">
        <f t="shared" si="4"/>
        <v>172099023.83013079</v>
      </c>
      <c r="U13" s="70">
        <f t="shared" si="5"/>
        <v>117878488.70943587</v>
      </c>
      <c r="V13" s="70">
        <f>V$12</f>
        <v>107010555.66620192</v>
      </c>
      <c r="W13" s="71">
        <f t="shared" si="7"/>
        <v>73296421.427350134</v>
      </c>
    </row>
    <row r="14" spans="1:23" x14ac:dyDescent="0.2">
      <c r="A14" s="56" t="s">
        <v>46</v>
      </c>
      <c r="B14" s="96">
        <v>0.05</v>
      </c>
      <c r="H14" s="73"/>
      <c r="I14" s="22"/>
      <c r="J14" s="63"/>
      <c r="K14" s="63">
        <v>12</v>
      </c>
      <c r="L14" s="63">
        <f t="shared" si="0"/>
        <v>4432.6362694231193</v>
      </c>
      <c r="M14" s="63"/>
      <c r="N14" s="63">
        <v>12</v>
      </c>
      <c r="O14" s="63">
        <f t="shared" si="8"/>
        <v>4.3406276662335999E-2</v>
      </c>
      <c r="P14" s="63">
        <f>L14*SUM(O$3:O14)*B$5</f>
        <v>992.26985826458429</v>
      </c>
      <c r="Q14" s="63">
        <f t="shared" si="1"/>
        <v>19833.238291162714</v>
      </c>
      <c r="R14" s="70">
        <f t="shared" si="2"/>
        <v>765762096.18388855</v>
      </c>
      <c r="S14" s="70">
        <f t="shared" si="3"/>
        <v>640473785.41245699</v>
      </c>
      <c r="T14" s="70">
        <f t="shared" si="4"/>
        <v>198652624.27719408</v>
      </c>
      <c r="U14" s="70">
        <f t="shared" si="5"/>
        <v>131464988.90795259</v>
      </c>
      <c r="V14" s="70">
        <f t="shared" ref="V14:V32" si="9">V$12</f>
        <v>107010555.66620192</v>
      </c>
      <c r="W14" s="71">
        <f t="shared" si="7"/>
        <v>70817798.480531543</v>
      </c>
    </row>
    <row r="15" spans="1:23" x14ac:dyDescent="0.2">
      <c r="A15" s="56" t="s">
        <v>8</v>
      </c>
      <c r="B15" s="96">
        <v>0.98</v>
      </c>
      <c r="H15" s="45" t="s">
        <v>32</v>
      </c>
      <c r="I15" s="25">
        <f>I9-I13</f>
        <v>1625839323.2116163</v>
      </c>
      <c r="J15" s="63"/>
      <c r="K15" s="63">
        <v>13</v>
      </c>
      <c r="L15" s="63">
        <f t="shared" si="0"/>
        <v>4521.2889948115817</v>
      </c>
      <c r="M15" s="63"/>
      <c r="N15" s="63">
        <v>13</v>
      </c>
      <c r="O15" s="63">
        <f t="shared" si="8"/>
        <v>4.2538151129089277E-2</v>
      </c>
      <c r="P15" s="63">
        <f>L15*SUM(O$3:O15)*B$5</f>
        <v>1127.5116201656258</v>
      </c>
      <c r="Q15" s="63">
        <f t="shared" si="1"/>
        <v>22536.416331248689</v>
      </c>
      <c r="R15" s="70">
        <f t="shared" si="2"/>
        <v>870131904.68141651</v>
      </c>
      <c r="S15" s="70">
        <f t="shared" si="3"/>
        <v>717012197.50287747</v>
      </c>
      <c r="T15" s="70">
        <f t="shared" si="4"/>
        <v>225728052.08521041</v>
      </c>
      <c r="U15" s="70">
        <f t="shared" si="5"/>
        <v>144331453.9375177</v>
      </c>
      <c r="V15" s="70">
        <f t="shared" si="9"/>
        <v>107010555.66620192</v>
      </c>
      <c r="W15" s="71">
        <f t="shared" si="7"/>
        <v>68422993.700996652</v>
      </c>
    </row>
    <row r="16" spans="1:23" ht="16" thickBot="1" x14ac:dyDescent="0.25">
      <c r="A16" s="56" t="s">
        <v>180</v>
      </c>
      <c r="B16" s="97">
        <f>B58</f>
        <v>200200.20020020023</v>
      </c>
      <c r="C16" s="68"/>
      <c r="D16" s="68"/>
      <c r="E16" s="68"/>
      <c r="F16" s="68"/>
      <c r="G16" s="76"/>
      <c r="H16" s="46" t="s">
        <v>33</v>
      </c>
      <c r="I16" s="26">
        <f>I9/I13</f>
        <v>4.5019078836444804</v>
      </c>
      <c r="J16" s="63"/>
      <c r="K16" s="63">
        <v>14</v>
      </c>
      <c r="L16" s="63">
        <f t="shared" si="0"/>
        <v>4611.7147747078143</v>
      </c>
      <c r="M16" s="63"/>
      <c r="N16" s="63">
        <v>14</v>
      </c>
      <c r="O16" s="63">
        <f t="shared" si="8"/>
        <v>4.1687388106507489E-2</v>
      </c>
      <c r="P16" s="63">
        <f>L16*SUM(O$3:O16)*B$5</f>
        <v>1265.4120587587943</v>
      </c>
      <c r="Q16" s="63">
        <f t="shared" si="1"/>
        <v>25292.735326826685</v>
      </c>
      <c r="R16" s="70">
        <f t="shared" si="2"/>
        <v>976553487.52226579</v>
      </c>
      <c r="S16" s="70">
        <f t="shared" si="3"/>
        <v>792814243.26890349</v>
      </c>
      <c r="T16" s="70">
        <f t="shared" si="4"/>
        <v>253335747.49925816</v>
      </c>
      <c r="U16" s="70">
        <f t="shared" si="5"/>
        <v>156506211.6311709</v>
      </c>
      <c r="V16" s="70">
        <f t="shared" si="9"/>
        <v>107010555.66620192</v>
      </c>
      <c r="W16" s="71">
        <f t="shared" si="7"/>
        <v>66109172.657967798</v>
      </c>
    </row>
    <row r="17" spans="1:23" ht="16" thickBot="1" x14ac:dyDescent="0.25">
      <c r="A17" s="56" t="s">
        <v>10</v>
      </c>
      <c r="B17" s="96">
        <f>1/1.015</f>
        <v>0.98522167487684742</v>
      </c>
      <c r="H17" s="74"/>
      <c r="I17" s="27"/>
      <c r="J17" s="63"/>
      <c r="K17" s="63">
        <v>15</v>
      </c>
      <c r="L17" s="63">
        <f t="shared" si="0"/>
        <v>4703.9490702019693</v>
      </c>
      <c r="M17" s="63"/>
      <c r="N17" s="63">
        <v>15</v>
      </c>
      <c r="O17" s="63">
        <f t="shared" si="8"/>
        <v>4.0853640344377336E-2</v>
      </c>
      <c r="P17" s="63">
        <f>L17*SUM(O$3:O17)*B$5</f>
        <v>1406.0243660413494</v>
      </c>
      <c r="Q17" s="63">
        <f t="shared" si="1"/>
        <v>28103.258466048646</v>
      </c>
      <c r="R17" s="70">
        <f t="shared" si="2"/>
        <v>1085067894.4420326</v>
      </c>
      <c r="S17" s="70">
        <f t="shared" si="3"/>
        <v>867893188.29878068</v>
      </c>
      <c r="T17" s="70">
        <f t="shared" si="4"/>
        <v>281486359.56783777</v>
      </c>
      <c r="U17" s="70">
        <f t="shared" si="5"/>
        <v>168016567.29689094</v>
      </c>
      <c r="V17" s="70">
        <f t="shared" si="9"/>
        <v>107010555.66620192</v>
      </c>
      <c r="W17" s="71">
        <f t="shared" si="7"/>
        <v>63873596.770983383</v>
      </c>
    </row>
    <row r="18" spans="1:23" x14ac:dyDescent="0.2">
      <c r="A18" s="56" t="s">
        <v>11</v>
      </c>
      <c r="B18" s="96">
        <f>1/1.035</f>
        <v>0.96618357487922713</v>
      </c>
      <c r="C18" s="68"/>
      <c r="H18" s="62" t="s">
        <v>43</v>
      </c>
      <c r="I18" s="21">
        <v>30</v>
      </c>
      <c r="J18" s="63"/>
      <c r="K18" s="63">
        <v>16</v>
      </c>
      <c r="L18" s="63">
        <f t="shared" si="0"/>
        <v>4798.0280516060093</v>
      </c>
      <c r="M18" s="63"/>
      <c r="N18" s="63">
        <v>16</v>
      </c>
      <c r="O18" s="63">
        <f t="shared" si="8"/>
        <v>4.0036567537489791E-2</v>
      </c>
      <c r="P18" s="63">
        <f>L18*SUM(O$3:O18)*B$5</f>
        <v>1549.4027978431131</v>
      </c>
      <c r="Q18" s="63">
        <f t="shared" si="1"/>
        <v>30969.070200681981</v>
      </c>
      <c r="R18" s="70">
        <f t="shared" si="2"/>
        <v>1195716996.1653275</v>
      </c>
      <c r="S18" s="70">
        <f t="shared" si="3"/>
        <v>942262107.22076559</v>
      </c>
      <c r="T18" s="70">
        <f t="shared" si="4"/>
        <v>310190750.31894159</v>
      </c>
      <c r="U18" s="70">
        <f t="shared" si="5"/>
        <v>178888839.46817917</v>
      </c>
      <c r="V18" s="70">
        <f t="shared" si="9"/>
        <v>107010555.66620192</v>
      </c>
      <c r="W18" s="71">
        <f t="shared" si="7"/>
        <v>61713620.068582982</v>
      </c>
    </row>
    <row r="19" spans="1:23" x14ac:dyDescent="0.2">
      <c r="A19" s="56" t="s">
        <v>103</v>
      </c>
      <c r="B19" s="98">
        <f>C39/B39</f>
        <v>19.98774640383591</v>
      </c>
      <c r="C19" s="68"/>
      <c r="H19" s="69" t="s">
        <v>12</v>
      </c>
      <c r="I19" s="22"/>
      <c r="J19" s="63"/>
      <c r="K19" s="63">
        <v>17</v>
      </c>
      <c r="L19" s="63">
        <f t="shared" si="0"/>
        <v>4893.9886126381298</v>
      </c>
      <c r="M19" s="63"/>
      <c r="N19" s="63">
        <v>17</v>
      </c>
      <c r="O19" s="63">
        <f t="shared" si="8"/>
        <v>3.9235836186739995E-2</v>
      </c>
      <c r="P19" s="63">
        <f>L19*SUM(O$3:O19)*B$5</f>
        <v>1695.6026951031199</v>
      </c>
      <c r="Q19" s="63">
        <f t="shared" si="1"/>
        <v>33891.276671381864</v>
      </c>
      <c r="R19" s="70">
        <f t="shared" si="2"/>
        <v>1308543500.8255546</v>
      </c>
      <c r="S19" s="70">
        <f t="shared" si="3"/>
        <v>1015933886.6512399</v>
      </c>
      <c r="T19" s="70">
        <f t="shared" si="4"/>
        <v>339459999.01964366</v>
      </c>
      <c r="U19" s="70">
        <f t="shared" si="5"/>
        <v>189148394.42060333</v>
      </c>
      <c r="V19" s="70">
        <f t="shared" si="9"/>
        <v>107010555.66620192</v>
      </c>
      <c r="W19" s="71">
        <f t="shared" si="7"/>
        <v>59626686.056601919</v>
      </c>
    </row>
    <row r="20" spans="1:23" x14ac:dyDescent="0.2">
      <c r="A20" s="56" t="s">
        <v>25</v>
      </c>
      <c r="B20" s="96">
        <v>37.700000000000003</v>
      </c>
      <c r="H20" s="69" t="s">
        <v>13</v>
      </c>
      <c r="I20" s="43" t="s">
        <v>1</v>
      </c>
      <c r="J20" s="63"/>
      <c r="K20" s="63">
        <v>18</v>
      </c>
      <c r="L20" s="63">
        <f t="shared" si="0"/>
        <v>4991.8683848908913</v>
      </c>
      <c r="M20" s="63"/>
      <c r="N20" s="63">
        <v>18</v>
      </c>
      <c r="O20" s="63">
        <f t="shared" si="8"/>
        <v>3.8451119463005196E-2</v>
      </c>
      <c r="P20" s="63">
        <f>L20*SUM(O$3:O20)*B$5</f>
        <v>1844.680505571805</v>
      </c>
      <c r="Q20" s="63">
        <f t="shared" si="1"/>
        <v>36871.006141469057</v>
      </c>
      <c r="R20" s="70">
        <f t="shared" si="2"/>
        <v>1423590970.7130909</v>
      </c>
      <c r="S20" s="70">
        <f t="shared" si="3"/>
        <v>1088921228.0983491</v>
      </c>
      <c r="T20" s="70">
        <f t="shared" si="4"/>
        <v>369305406.52088195</v>
      </c>
      <c r="U20" s="70">
        <f t="shared" si="5"/>
        <v>198819679.49667478</v>
      </c>
      <c r="V20" s="70">
        <f t="shared" si="9"/>
        <v>107010555.66620192</v>
      </c>
      <c r="W20" s="71">
        <f t="shared" si="7"/>
        <v>57610324.692369007</v>
      </c>
    </row>
    <row r="21" spans="1:23" x14ac:dyDescent="0.2">
      <c r="A21" s="56" t="s">
        <v>48</v>
      </c>
      <c r="B21" s="96">
        <v>141000</v>
      </c>
      <c r="H21" s="73" t="s">
        <v>22</v>
      </c>
      <c r="I21" s="23">
        <f>SUM(P3:P32)</f>
        <v>48146.618846236517</v>
      </c>
      <c r="J21" s="63"/>
      <c r="K21" s="63">
        <v>19</v>
      </c>
      <c r="L21" s="63">
        <f t="shared" si="0"/>
        <v>5091.7057525887094</v>
      </c>
      <c r="M21" s="63"/>
      <c r="N21" s="63">
        <v>19</v>
      </c>
      <c r="O21" s="63">
        <f t="shared" si="8"/>
        <v>3.7682097073745091E-2</v>
      </c>
      <c r="P21" s="63">
        <f>L21*SUM(O$3:O21)*B$5</f>
        <v>1996.6938059472377</v>
      </c>
      <c r="Q21" s="63">
        <f t="shared" si="1"/>
        <v>39909.409439383337</v>
      </c>
      <c r="R21" s="70">
        <f t="shared" si="2"/>
        <v>1540903839.3584299</v>
      </c>
      <c r="S21" s="70">
        <f t="shared" si="3"/>
        <v>1161236650.8218365</v>
      </c>
      <c r="T21" s="70">
        <f t="shared" si="4"/>
        <v>399738499.68913674</v>
      </c>
      <c r="U21" s="70">
        <f t="shared" si="5"/>
        <v>207926255.27997816</v>
      </c>
      <c r="V21" s="70">
        <f t="shared" si="9"/>
        <v>107010555.66620192</v>
      </c>
      <c r="W21" s="71">
        <f t="shared" si="7"/>
        <v>55662149.461226106</v>
      </c>
    </row>
    <row r="22" spans="1:23" x14ac:dyDescent="0.2">
      <c r="A22" s="56" t="s">
        <v>50</v>
      </c>
      <c r="B22" s="96">
        <f>B21*B12</f>
        <v>102930</v>
      </c>
      <c r="H22" s="73" t="s">
        <v>23</v>
      </c>
      <c r="I22" s="22">
        <f>I21*B$19</f>
        <v>962342.40770072222</v>
      </c>
      <c r="K22" s="63">
        <v>20</v>
      </c>
      <c r="L22" s="63">
        <f t="shared" si="0"/>
        <v>5193.5398676404839</v>
      </c>
      <c r="M22" s="63"/>
      <c r="N22" s="63">
        <v>20</v>
      </c>
      <c r="O22" s="63">
        <f t="shared" si="8"/>
        <v>3.6928455132270187E-2</v>
      </c>
      <c r="P22" s="63">
        <f>L22*SUM(O$3:O22)*B$5</f>
        <v>2151.7013244540731</v>
      </c>
      <c r="Q22" s="63">
        <f t="shared" si="1"/>
        <v>43007.660409985867</v>
      </c>
      <c r="R22" s="70">
        <f t="shared" si="2"/>
        <v>1660527428.9569833</v>
      </c>
      <c r="S22" s="70">
        <f t="shared" si="3"/>
        <v>1232892494.6497374</v>
      </c>
      <c r="T22" s="70">
        <f t="shared" si="4"/>
        <v>430771035.92674142</v>
      </c>
      <c r="U22" s="70">
        <f t="shared" si="5"/>
        <v>216490826.6580697</v>
      </c>
      <c r="V22" s="70">
        <f t="shared" si="9"/>
        <v>107010555.66620192</v>
      </c>
      <c r="W22" s="71">
        <f t="shared" si="7"/>
        <v>53779854.551909275</v>
      </c>
    </row>
    <row r="23" spans="1:23" x14ac:dyDescent="0.2">
      <c r="A23" s="56" t="s">
        <v>49</v>
      </c>
      <c r="B23" s="96">
        <f>B7-B22</f>
        <v>824170</v>
      </c>
      <c r="H23" s="73" t="s">
        <v>37</v>
      </c>
      <c r="I23" s="22">
        <f>SUM(S3:S32)</f>
        <v>26868315545.050339</v>
      </c>
      <c r="J23" s="63"/>
      <c r="K23" s="63">
        <v>21</v>
      </c>
      <c r="L23" s="63">
        <f t="shared" si="0"/>
        <v>5297.4106649932937</v>
      </c>
      <c r="M23" s="63"/>
      <c r="N23" s="63">
        <v>21</v>
      </c>
      <c r="O23" s="63">
        <f t="shared" si="8"/>
        <v>3.6189886029624779E-2</v>
      </c>
      <c r="P23" s="63">
        <f>L23*SUM(O$3:O23)*B$5</f>
        <v>2309.7629638740905</v>
      </c>
      <c r="Q23" s="63">
        <f t="shared" si="1"/>
        <v>46166.956374887726</v>
      </c>
      <c r="R23" s="70">
        <f t="shared" si="2"/>
        <v>1782507968.1423833</v>
      </c>
      <c r="S23" s="70">
        <f t="shared" si="3"/>
        <v>1303900922.7525938</v>
      </c>
      <c r="T23" s="70">
        <f t="shared" si="4"/>
        <v>462415007.78260076</v>
      </c>
      <c r="U23" s="70">
        <f t="shared" si="5"/>
        <v>224535272.81230971</v>
      </c>
      <c r="V23" s="70">
        <f t="shared" si="9"/>
        <v>107010555.66620192</v>
      </c>
      <c r="W23" s="71">
        <f t="shared" si="7"/>
        <v>51961212.127448581</v>
      </c>
    </row>
    <row r="24" spans="1:23" x14ac:dyDescent="0.2">
      <c r="A24" s="56" t="s">
        <v>51</v>
      </c>
      <c r="B24" s="96">
        <v>0.25</v>
      </c>
      <c r="H24" s="73" t="s">
        <v>41</v>
      </c>
      <c r="I24" s="22">
        <f>SUM(U3:U32)</f>
        <v>4618642897.9697618</v>
      </c>
      <c r="J24" s="63"/>
      <c r="K24" s="63">
        <v>22</v>
      </c>
      <c r="L24" s="63">
        <f t="shared" si="0"/>
        <v>5403.3588782931593</v>
      </c>
      <c r="M24" s="63"/>
      <c r="N24" s="63">
        <v>22</v>
      </c>
      <c r="O24" s="63">
        <f t="shared" si="8"/>
        <v>3.5466088309032286E-2</v>
      </c>
      <c r="P24" s="63">
        <f>L24*SUM(O$3:O24)*B$5</f>
        <v>2470.9398250373356</v>
      </c>
      <c r="Q24" s="63">
        <f t="shared" si="1"/>
        <v>49388.518601984935</v>
      </c>
      <c r="R24" s="70">
        <f t="shared" si="2"/>
        <v>1906892610.1152484</v>
      </c>
      <c r="S24" s="70">
        <f t="shared" si="3"/>
        <v>1374273924.3758309</v>
      </c>
      <c r="T24" s="70">
        <f t="shared" si="4"/>
        <v>494682647.65512228</v>
      </c>
      <c r="U24" s="70">
        <f t="shared" si="5"/>
        <v>232080676.17148313</v>
      </c>
      <c r="V24" s="70">
        <f t="shared" si="9"/>
        <v>107010555.66620192</v>
      </c>
      <c r="W24" s="71">
        <f t="shared" si="7"/>
        <v>50204069.688356124</v>
      </c>
    </row>
    <row r="25" spans="1:23" x14ac:dyDescent="0.2">
      <c r="A25" s="56" t="s">
        <v>92</v>
      </c>
      <c r="B25" s="111">
        <f>B19*B8</f>
        <v>771727.66037976486</v>
      </c>
      <c r="H25" s="73" t="s">
        <v>39</v>
      </c>
      <c r="I25" s="22">
        <f>I23+I24</f>
        <v>31486958443.0201</v>
      </c>
      <c r="J25" s="63"/>
      <c r="K25" s="63">
        <v>23</v>
      </c>
      <c r="L25" s="63">
        <f t="shared" si="0"/>
        <v>5511.4260558590222</v>
      </c>
      <c r="M25" s="63"/>
      <c r="N25" s="63">
        <v>23</v>
      </c>
      <c r="O25" s="63">
        <f t="shared" si="8"/>
        <v>3.475676654285164E-2</v>
      </c>
      <c r="P25" s="63">
        <f>L25*SUM(O$3:O25)*B$5</f>
        <v>2635.2942307830913</v>
      </c>
      <c r="Q25" s="63">
        <f t="shared" si="1"/>
        <v>52673.592784384251</v>
      </c>
      <c r="R25" s="70">
        <f t="shared" si="2"/>
        <v>2033729451.134527</v>
      </c>
      <c r="S25" s="70">
        <f t="shared" si="3"/>
        <v>1444023317.5309346</v>
      </c>
      <c r="T25" s="70">
        <f t="shared" si="4"/>
        <v>527586432.58920753</v>
      </c>
      <c r="U25" s="70">
        <f t="shared" si="5"/>
        <v>239147350.36480319</v>
      </c>
      <c r="V25" s="70">
        <f t="shared" si="9"/>
        <v>107010555.66620192</v>
      </c>
      <c r="W25" s="71">
        <f t="shared" si="7"/>
        <v>48506347.524981767</v>
      </c>
    </row>
    <row r="26" spans="1:23" x14ac:dyDescent="0.2">
      <c r="A26" s="56" t="s">
        <v>93</v>
      </c>
      <c r="B26" s="95">
        <f>B25*B6</f>
        <v>2697268006.9231796</v>
      </c>
      <c r="H26" s="74"/>
      <c r="I26" s="24"/>
      <c r="J26" s="63"/>
      <c r="K26" s="63">
        <v>24</v>
      </c>
      <c r="L26" s="63">
        <f t="shared" si="0"/>
        <v>5621.6545769762024</v>
      </c>
      <c r="M26" s="63"/>
      <c r="N26" s="63">
        <v>24</v>
      </c>
      <c r="O26" s="63">
        <f t="shared" si="8"/>
        <v>3.4061631211994604E-2</v>
      </c>
      <c r="P26" s="63">
        <f>L26*SUM(O$3:O26)*B$5</f>
        <v>2802.8897504000638</v>
      </c>
      <c r="Q26" s="63">
        <f t="shared" si="1"/>
        <v>56023.449528907404</v>
      </c>
      <c r="R26" s="70">
        <f t="shared" si="2"/>
        <v>2163067549.378664</v>
      </c>
      <c r="S26" s="70">
        <f t="shared" si="3"/>
        <v>1513160751.6460528</v>
      </c>
      <c r="T26" s="70">
        <f t="shared" si="4"/>
        <v>561139089.16918206</v>
      </c>
      <c r="U26" s="70">
        <f t="shared" si="5"/>
        <v>245754867.20867056</v>
      </c>
      <c r="V26" s="70">
        <f t="shared" si="9"/>
        <v>107010555.66620192</v>
      </c>
      <c r="W26" s="71">
        <f t="shared" si="7"/>
        <v>46866036.256021023</v>
      </c>
    </row>
    <row r="27" spans="1:23" x14ac:dyDescent="0.2">
      <c r="H27" s="69" t="s">
        <v>29</v>
      </c>
      <c r="I27" s="22"/>
      <c r="J27" s="63"/>
      <c r="K27" s="63">
        <v>25</v>
      </c>
      <c r="L27" s="63">
        <f t="shared" si="0"/>
        <v>5734.0876685157264</v>
      </c>
      <c r="M27" s="63"/>
      <c r="N27" s="63">
        <v>25</v>
      </c>
      <c r="O27" s="63">
        <f t="shared" si="8"/>
        <v>3.3380398587754712E-2</v>
      </c>
      <c r="P27" s="63">
        <f>L27*SUM(O$3:O27)*B$5</f>
        <v>2973.7912245553757</v>
      </c>
      <c r="Q27" s="63">
        <f t="shared" si="1"/>
        <v>59439.384854365497</v>
      </c>
      <c r="R27" s="70">
        <f t="shared" si="2"/>
        <v>2294956944.1839962</v>
      </c>
      <c r="S27" s="70">
        <f t="shared" si="3"/>
        <v>1581697710.1766453</v>
      </c>
      <c r="T27" s="70">
        <f t="shared" si="4"/>
        <v>595353598.50958478</v>
      </c>
      <c r="U27" s="70">
        <f t="shared" si="5"/>
        <v>251922082.76038441</v>
      </c>
      <c r="V27" s="70">
        <f t="shared" si="9"/>
        <v>107010555.66620192</v>
      </c>
      <c r="W27" s="71">
        <f t="shared" si="7"/>
        <v>45281194.450261869</v>
      </c>
    </row>
    <row r="28" spans="1:23" x14ac:dyDescent="0.2">
      <c r="A28" s="3" t="s">
        <v>72</v>
      </c>
      <c r="H28" s="69" t="s">
        <v>13</v>
      </c>
      <c r="I28" s="43" t="s">
        <v>1</v>
      </c>
      <c r="J28" s="63"/>
      <c r="K28" s="63">
        <v>26</v>
      </c>
      <c r="L28" s="63">
        <f t="shared" si="0"/>
        <v>5848.7694218860415</v>
      </c>
      <c r="M28" s="63"/>
      <c r="N28" s="63">
        <v>26</v>
      </c>
      <c r="O28" s="63">
        <f t="shared" si="8"/>
        <v>3.2712790615999618E-2</v>
      </c>
      <c r="P28" s="63">
        <f>L28*SUM(O$3:O28)*B$5</f>
        <v>3148.0647907221351</v>
      </c>
      <c r="Q28" s="63">
        <f t="shared" si="1"/>
        <v>62922.720699798803</v>
      </c>
      <c r="R28" s="70">
        <f t="shared" si="2"/>
        <v>2429448675.6679072</v>
      </c>
      <c r="S28" s="70">
        <f t="shared" si="3"/>
        <v>1649645513.1767731</v>
      </c>
      <c r="T28" s="70">
        <f t="shared" si="4"/>
        <v>630243201.34577286</v>
      </c>
      <c r="U28" s="70">
        <f t="shared" si="5"/>
        <v>257667162.47086287</v>
      </c>
      <c r="V28" s="70">
        <f t="shared" si="9"/>
        <v>107010555.66620192</v>
      </c>
      <c r="W28" s="71">
        <f t="shared" si="7"/>
        <v>43749946.328755431</v>
      </c>
    </row>
    <row r="29" spans="1:23" x14ac:dyDescent="0.2">
      <c r="A29" s="56" t="s">
        <v>96</v>
      </c>
      <c r="B29" s="96">
        <v>50000</v>
      </c>
      <c r="H29" s="73" t="s">
        <v>104</v>
      </c>
      <c r="I29" s="22">
        <f>SUM(W3:W32)</f>
        <v>1542450884.0291977</v>
      </c>
      <c r="J29" s="63"/>
      <c r="K29" s="63">
        <v>27</v>
      </c>
      <c r="L29" s="63">
        <f t="shared" si="0"/>
        <v>5965.7448103237612</v>
      </c>
      <c r="M29" s="63"/>
      <c r="N29" s="63">
        <v>27</v>
      </c>
      <c r="O29" s="63">
        <f t="shared" si="8"/>
        <v>3.2058534803679622E-2</v>
      </c>
      <c r="P29" s="63">
        <f>L29*SUM(O$3:O29)*B$5</f>
        <v>3325.7779091155585</v>
      </c>
      <c r="Q29" s="63">
        <f t="shared" si="1"/>
        <v>66474.805442881421</v>
      </c>
      <c r="R29" s="70">
        <f t="shared" si="2"/>
        <v>2566594804.7444563</v>
      </c>
      <c r="S29" s="70">
        <f t="shared" si="3"/>
        <v>1717015319.8316503</v>
      </c>
      <c r="T29" s="70">
        <f t="shared" si="4"/>
        <v>665821403.22633815</v>
      </c>
      <c r="U29" s="70">
        <f t="shared" si="5"/>
        <v>263007605.46733332</v>
      </c>
      <c r="V29" s="70">
        <f t="shared" si="9"/>
        <v>107010555.66620192</v>
      </c>
      <c r="W29" s="71">
        <f t="shared" si="7"/>
        <v>42270479.544691242</v>
      </c>
    </row>
    <row r="30" spans="1:23" x14ac:dyDescent="0.2">
      <c r="A30" s="56" t="s">
        <v>97</v>
      </c>
      <c r="B30" s="96">
        <f>B29/B50</f>
        <v>38610.038610038609</v>
      </c>
      <c r="H30" s="73"/>
      <c r="I30" s="22"/>
      <c r="J30" s="63"/>
      <c r="K30" s="63">
        <v>28</v>
      </c>
      <c r="L30" s="63">
        <f t="shared" si="0"/>
        <v>6085.0597065302381</v>
      </c>
      <c r="M30" s="63"/>
      <c r="N30" s="63">
        <v>28</v>
      </c>
      <c r="O30" s="63">
        <f t="shared" si="8"/>
        <v>3.1417364107606031E-2</v>
      </c>
      <c r="P30" s="63">
        <f>L30*SUM(O$3:O30)*B$5</f>
        <v>3506.9993891478198</v>
      </c>
      <c r="Q30" s="63">
        <f t="shared" si="1"/>
        <v>70097.014428694063</v>
      </c>
      <c r="R30" s="70">
        <f t="shared" si="2"/>
        <v>2706448433.5403113</v>
      </c>
      <c r="S30" s="70">
        <f t="shared" si="3"/>
        <v>1783818130.952024</v>
      </c>
      <c r="T30" s="70">
        <f t="shared" si="4"/>
        <v>702101979.80937338</v>
      </c>
      <c r="U30" s="70">
        <f t="shared" si="5"/>
        <v>267960267.995891</v>
      </c>
      <c r="V30" s="70">
        <f t="shared" si="9"/>
        <v>107010555.66620192</v>
      </c>
      <c r="W30" s="71">
        <f t="shared" si="7"/>
        <v>40841043.038349032</v>
      </c>
    </row>
    <row r="31" spans="1:23" x14ac:dyDescent="0.2">
      <c r="H31" s="45" t="s">
        <v>32</v>
      </c>
      <c r="I31" s="25">
        <f>I25-I29</f>
        <v>29944507558.990902</v>
      </c>
      <c r="J31" s="63"/>
      <c r="K31" s="63">
        <v>29</v>
      </c>
      <c r="L31" s="63">
        <f t="shared" si="0"/>
        <v>6206.7609006608418</v>
      </c>
      <c r="M31" s="63"/>
      <c r="N31" s="63">
        <v>29</v>
      </c>
      <c r="O31" s="63">
        <f t="shared" si="8"/>
        <v>3.0789016825453909E-2</v>
      </c>
      <c r="P31" s="63">
        <f>L31*SUM(O$3:O31)*B$5</f>
        <v>3691.799416411985</v>
      </c>
      <c r="Q31" s="63">
        <f t="shared" si="1"/>
        <v>73790.750509072168</v>
      </c>
      <c r="R31" s="70">
        <f t="shared" si="2"/>
        <v>2849063726.2190027</v>
      </c>
      <c r="S31" s="70">
        <f t="shared" si="3"/>
        <v>1850064791.4309745</v>
      </c>
      <c r="T31" s="70">
        <f t="shared" si="4"/>
        <v>739098982.26466179</v>
      </c>
      <c r="U31" s="70">
        <f t="shared" si="5"/>
        <v>272541386.05279899</v>
      </c>
      <c r="V31" s="70">
        <f t="shared" si="9"/>
        <v>107010555.66620192</v>
      </c>
      <c r="W31" s="71">
        <f t="shared" si="7"/>
        <v>39459944.964588426</v>
      </c>
    </row>
    <row r="32" spans="1:23" ht="17" thickBot="1" x14ac:dyDescent="0.25">
      <c r="A32" s="3" t="s">
        <v>105</v>
      </c>
      <c r="B32" s="53" t="s">
        <v>68</v>
      </c>
      <c r="C32" s="53" t="s">
        <v>67</v>
      </c>
      <c r="H32" s="48" t="s">
        <v>33</v>
      </c>
      <c r="I32" s="28">
        <f>I25 / I29</f>
        <v>20.413589028371337</v>
      </c>
      <c r="J32" s="77"/>
      <c r="K32" s="77">
        <v>30</v>
      </c>
      <c r="L32" s="77">
        <f t="shared" si="0"/>
        <v>6330.8961186740589</v>
      </c>
      <c r="M32" s="77"/>
      <c r="N32" s="77">
        <v>30</v>
      </c>
      <c r="O32" s="77">
        <f t="shared" si="8"/>
        <v>3.0173236488944832E-2</v>
      </c>
      <c r="P32" s="77">
        <f>L32*SUM(O$3:O32)*B$5</f>
        <v>3880.2495802056424</v>
      </c>
      <c r="Q32" s="77">
        <f t="shared" si="1"/>
        <v>77557.444592741129</v>
      </c>
      <c r="R32" s="78">
        <f t="shared" si="2"/>
        <v>2994495930.2216654</v>
      </c>
      <c r="S32" s="78">
        <f t="shared" si="3"/>
        <v>1915765992.6637099</v>
      </c>
      <c r="T32" s="78">
        <f t="shared" si="4"/>
        <v>776826742.78391254</v>
      </c>
      <c r="U32" s="78">
        <f t="shared" si="5"/>
        <v>276766597.23241585</v>
      </c>
      <c r="V32" s="78">
        <f t="shared" si="9"/>
        <v>107010555.66620192</v>
      </c>
      <c r="W32" s="79">
        <f t="shared" si="7"/>
        <v>38125550.690423608</v>
      </c>
    </row>
    <row r="33" spans="1:23" x14ac:dyDescent="0.2">
      <c r="A33" s="80" t="s">
        <v>57</v>
      </c>
      <c r="B33" s="99">
        <v>622</v>
      </c>
      <c r="C33" s="91">
        <v>10257</v>
      </c>
    </row>
    <row r="34" spans="1:23" ht="16" thickBot="1" x14ac:dyDescent="0.25">
      <c r="A34" s="80" t="s">
        <v>58</v>
      </c>
      <c r="B34" s="99">
        <v>373</v>
      </c>
      <c r="C34" s="91">
        <v>11701</v>
      </c>
      <c r="H34" s="3"/>
    </row>
    <row r="35" spans="1:23" ht="16" thickBot="1" x14ac:dyDescent="0.25">
      <c r="A35" s="80" t="s">
        <v>59</v>
      </c>
      <c r="B35" s="99">
        <v>155</v>
      </c>
      <c r="C35" s="91">
        <v>2649</v>
      </c>
      <c r="H35" s="38" t="s">
        <v>34</v>
      </c>
      <c r="I35" s="20"/>
      <c r="J35" s="57"/>
      <c r="K35" s="58" t="s">
        <v>17</v>
      </c>
      <c r="L35" s="59"/>
      <c r="M35" s="57"/>
      <c r="N35" s="58" t="s">
        <v>18</v>
      </c>
      <c r="O35" s="58"/>
      <c r="P35" s="58"/>
      <c r="Q35" s="57"/>
      <c r="R35" s="57"/>
      <c r="S35" s="57"/>
      <c r="T35" s="57"/>
      <c r="U35" s="57"/>
      <c r="V35" s="57"/>
      <c r="W35" s="60"/>
    </row>
    <row r="36" spans="1:23" x14ac:dyDescent="0.2">
      <c r="A36" s="80" t="s">
        <v>60</v>
      </c>
      <c r="B36" s="99">
        <v>158</v>
      </c>
      <c r="C36" s="91">
        <v>2590</v>
      </c>
      <c r="H36" s="62" t="s">
        <v>43</v>
      </c>
      <c r="I36" s="21">
        <v>10</v>
      </c>
      <c r="J36" s="63"/>
      <c r="K36" s="64" t="s">
        <v>16</v>
      </c>
      <c r="L36" s="64" t="s">
        <v>53</v>
      </c>
      <c r="M36" s="63"/>
      <c r="N36" s="64" t="s">
        <v>16</v>
      </c>
      <c r="O36" s="65" t="s">
        <v>20</v>
      </c>
      <c r="P36" s="65" t="s">
        <v>19</v>
      </c>
      <c r="Q36" s="65" t="s">
        <v>26</v>
      </c>
      <c r="R36" s="65" t="s">
        <v>27</v>
      </c>
      <c r="S36" s="65" t="s">
        <v>28</v>
      </c>
      <c r="T36" s="65" t="s">
        <v>38</v>
      </c>
      <c r="U36" s="65" t="s">
        <v>40</v>
      </c>
      <c r="V36" s="66" t="s">
        <v>30</v>
      </c>
      <c r="W36" s="67" t="s">
        <v>31</v>
      </c>
    </row>
    <row r="37" spans="1:23" x14ac:dyDescent="0.2">
      <c r="A37" s="80" t="s">
        <v>61</v>
      </c>
      <c r="B37" s="99">
        <v>311</v>
      </c>
      <c r="C37" s="91">
        <v>5885</v>
      </c>
      <c r="H37" s="69" t="s">
        <v>12</v>
      </c>
      <c r="I37" s="22"/>
      <c r="J37" s="63"/>
      <c r="K37" s="63">
        <v>1</v>
      </c>
      <c r="L37" s="63">
        <f>($B$23*($B$10^K37)*(1-$B$24))+($B$22*($B$10^K37))</f>
        <v>735478.65</v>
      </c>
      <c r="M37" s="63"/>
      <c r="N37" s="63">
        <v>1</v>
      </c>
      <c r="O37" s="63">
        <v>0</v>
      </c>
      <c r="P37" s="63">
        <f>L37*SUM(O$37:O37)*B$5</f>
        <v>0</v>
      </c>
      <c r="Q37" s="63">
        <f t="shared" ref="Q37:Q66" si="10">B$20*P37</f>
        <v>0</v>
      </c>
      <c r="R37" s="70">
        <f t="shared" ref="R37:R66" si="11">Q37*B$9</f>
        <v>0</v>
      </c>
      <c r="S37" s="70">
        <f t="shared" ref="S37:S66" si="12">R37*(B$17^N37)</f>
        <v>0</v>
      </c>
      <c r="T37" s="70">
        <f t="shared" ref="T37:T66" si="13">B$16*P37</f>
        <v>0</v>
      </c>
      <c r="U37" s="70">
        <f t="shared" ref="U37:U66" si="14">T37*(B$18^N37)</f>
        <v>0</v>
      </c>
      <c r="V37" s="70">
        <f>B$5*N37*(B$3/10)</f>
        <v>270000000</v>
      </c>
      <c r="W37" s="71">
        <f t="shared" ref="W37:W66" si="15">V37*(B$18^N37)</f>
        <v>260869565.21739131</v>
      </c>
    </row>
    <row r="38" spans="1:23" x14ac:dyDescent="0.2">
      <c r="A38" s="80" t="s">
        <v>62</v>
      </c>
      <c r="B38" s="99">
        <v>258</v>
      </c>
      <c r="C38" s="91">
        <v>4435</v>
      </c>
      <c r="H38" s="69" t="s">
        <v>13</v>
      </c>
      <c r="I38" s="43" t="s">
        <v>1</v>
      </c>
      <c r="J38" s="63"/>
      <c r="K38" s="63">
        <v>2</v>
      </c>
      <c r="L38" s="63">
        <f t="shared" ref="L38:L66" si="16">($B$23*($B$10^K38)*(1-$B$24))+($B$22*($B$10^K38))</f>
        <v>750188.223</v>
      </c>
      <c r="M38" s="63"/>
      <c r="N38" s="63">
        <v>2</v>
      </c>
      <c r="O38" s="63">
        <v>0</v>
      </c>
      <c r="P38" s="63">
        <f>L38*SUM(O$37:O38)*B$5</f>
        <v>0</v>
      </c>
      <c r="Q38" s="63">
        <f t="shared" si="10"/>
        <v>0</v>
      </c>
      <c r="R38" s="70">
        <f t="shared" si="11"/>
        <v>0</v>
      </c>
      <c r="S38" s="70">
        <f t="shared" si="12"/>
        <v>0</v>
      </c>
      <c r="T38" s="70">
        <f t="shared" si="13"/>
        <v>0</v>
      </c>
      <c r="U38" s="70">
        <f t="shared" si="14"/>
        <v>0</v>
      </c>
      <c r="V38" s="70">
        <f t="shared" ref="V38:V45" si="17">B$5*N38*(B$3/10)</f>
        <v>540000000</v>
      </c>
      <c r="W38" s="71">
        <f t="shared" si="15"/>
        <v>504095778.19785762</v>
      </c>
    </row>
    <row r="39" spans="1:23" x14ac:dyDescent="0.2">
      <c r="A39" s="84" t="s">
        <v>88</v>
      </c>
      <c r="B39" s="100">
        <f>SUM(B33:B38)</f>
        <v>1877</v>
      </c>
      <c r="C39" s="100">
        <f>SUM(C33:C38)</f>
        <v>37517</v>
      </c>
      <c r="H39" s="73" t="s">
        <v>22</v>
      </c>
      <c r="I39" s="23">
        <f>SUM(P37:P46)</f>
        <v>518262.24563889764</v>
      </c>
      <c r="J39" s="63"/>
      <c r="K39" s="63">
        <v>3</v>
      </c>
      <c r="L39" s="63">
        <f t="shared" si="16"/>
        <v>765191.98745999997</v>
      </c>
      <c r="M39" s="63"/>
      <c r="N39" s="63">
        <v>3</v>
      </c>
      <c r="O39" s="63">
        <v>0</v>
      </c>
      <c r="P39" s="63">
        <f>L39*SUM(O$37:O39)*B$5</f>
        <v>0</v>
      </c>
      <c r="Q39" s="63">
        <f t="shared" si="10"/>
        <v>0</v>
      </c>
      <c r="R39" s="70">
        <f t="shared" si="11"/>
        <v>0</v>
      </c>
      <c r="S39" s="70">
        <f t="shared" si="12"/>
        <v>0</v>
      </c>
      <c r="T39" s="70">
        <f t="shared" si="13"/>
        <v>0</v>
      </c>
      <c r="U39" s="70">
        <f t="shared" si="14"/>
        <v>0</v>
      </c>
      <c r="V39" s="70">
        <f t="shared" si="17"/>
        <v>809999999.99999988</v>
      </c>
      <c r="W39" s="71">
        <f t="shared" si="15"/>
        <v>730573591.59109807</v>
      </c>
    </row>
    <row r="40" spans="1:23" x14ac:dyDescent="0.2">
      <c r="B40" s="82"/>
      <c r="C40" s="81"/>
      <c r="D40" s="81"/>
      <c r="E40" s="81"/>
      <c r="F40" s="81"/>
      <c r="H40" s="73" t="s">
        <v>23</v>
      </c>
      <c r="I40" s="22">
        <f>I39*B$20</f>
        <v>19538486.660586443</v>
      </c>
      <c r="J40" s="63"/>
      <c r="K40" s="63">
        <v>4</v>
      </c>
      <c r="L40" s="63">
        <f t="shared" si="16"/>
        <v>780495.82720920001</v>
      </c>
      <c r="M40" s="63"/>
      <c r="N40" s="63">
        <v>4</v>
      </c>
      <c r="O40" s="63">
        <v>0</v>
      </c>
      <c r="P40" s="63">
        <f>L40*SUM(O$37:O40)*B$5</f>
        <v>0</v>
      </c>
      <c r="Q40" s="63">
        <f t="shared" si="10"/>
        <v>0</v>
      </c>
      <c r="R40" s="70">
        <f t="shared" si="11"/>
        <v>0</v>
      </c>
      <c r="S40" s="70">
        <f t="shared" si="12"/>
        <v>0</v>
      </c>
      <c r="T40" s="70">
        <f t="shared" si="13"/>
        <v>0</v>
      </c>
      <c r="U40" s="70">
        <f t="shared" si="14"/>
        <v>0</v>
      </c>
      <c r="V40" s="70">
        <f t="shared" si="17"/>
        <v>1080000000</v>
      </c>
      <c r="W40" s="71">
        <f t="shared" si="15"/>
        <v>941157605.91445816</v>
      </c>
    </row>
    <row r="41" spans="1:23" x14ac:dyDescent="0.2">
      <c r="A41" s="3" t="s">
        <v>106</v>
      </c>
      <c r="B41" s="96">
        <v>2900</v>
      </c>
      <c r="C41" s="81"/>
      <c r="D41" s="81"/>
      <c r="E41" s="81"/>
      <c r="F41" s="81"/>
      <c r="H41" s="73" t="s">
        <v>37</v>
      </c>
      <c r="I41" s="22">
        <f>SUM(S37:S46)</f>
        <v>310631544590.51147</v>
      </c>
      <c r="J41" s="63"/>
      <c r="K41" s="63">
        <v>5</v>
      </c>
      <c r="L41" s="63">
        <f t="shared" si="16"/>
        <v>796105.74375338398</v>
      </c>
      <c r="M41" s="63"/>
      <c r="N41" s="63">
        <v>5</v>
      </c>
      <c r="O41" s="63">
        <f>B$14</f>
        <v>0.05</v>
      </c>
      <c r="P41" s="63">
        <f>L41*SUM(O$37:O41)*B$5</f>
        <v>23883.17231260152</v>
      </c>
      <c r="Q41" s="63">
        <f t="shared" si="10"/>
        <v>900395.59618507733</v>
      </c>
      <c r="R41" s="70">
        <f t="shared" si="11"/>
        <v>16207120731.331392</v>
      </c>
      <c r="S41" s="70">
        <f t="shared" si="12"/>
        <v>15044427163.95417</v>
      </c>
      <c r="T41" s="70">
        <f t="shared" si="13"/>
        <v>4781415878.3987036</v>
      </c>
      <c r="U41" s="70">
        <f t="shared" si="14"/>
        <v>4025823869.2029881</v>
      </c>
      <c r="V41" s="70">
        <f t="shared" si="17"/>
        <v>1350000000</v>
      </c>
      <c r="W41" s="71">
        <f t="shared" si="15"/>
        <v>1136663775.2590075</v>
      </c>
    </row>
    <row r="42" spans="1:23" x14ac:dyDescent="0.2">
      <c r="A42" s="56" t="s">
        <v>107</v>
      </c>
      <c r="B42" s="115">
        <f>B39/B41</f>
        <v>0.64724137931034487</v>
      </c>
      <c r="C42" s="81"/>
      <c r="D42" s="81"/>
      <c r="E42" s="81"/>
      <c r="F42" s="81"/>
      <c r="H42" s="83" t="s">
        <v>41</v>
      </c>
      <c r="I42" s="30">
        <f>SUM(U37:U46)</f>
        <v>77939557375.497711</v>
      </c>
      <c r="J42" s="63"/>
      <c r="K42" s="63">
        <v>6</v>
      </c>
      <c r="L42" s="63">
        <f t="shared" si="16"/>
        <v>812027.85862845182</v>
      </c>
      <c r="M42" s="63"/>
      <c r="N42" s="63">
        <v>6</v>
      </c>
      <c r="O42" s="63">
        <f t="shared" ref="O42:O64" si="18">O41*$B$15</f>
        <v>4.9000000000000002E-2</v>
      </c>
      <c r="P42" s="63">
        <f>L42*SUM(O$37:O42)*B$5</f>
        <v>48234.454802530039</v>
      </c>
      <c r="Q42" s="63">
        <f t="shared" si="10"/>
        <v>1818438.9460553827</v>
      </c>
      <c r="R42" s="70">
        <f t="shared" si="11"/>
        <v>32731901028.996887</v>
      </c>
      <c r="S42" s="70">
        <f t="shared" si="12"/>
        <v>29934704532.336803</v>
      </c>
      <c r="T42" s="70">
        <f t="shared" si="13"/>
        <v>9656547508.0140228</v>
      </c>
      <c r="U42" s="70">
        <f t="shared" si="14"/>
        <v>7855607619.5578327</v>
      </c>
      <c r="V42" s="70">
        <f t="shared" si="17"/>
        <v>1619999999.9999998</v>
      </c>
      <c r="W42" s="71">
        <f t="shared" si="15"/>
        <v>1317871043.7785594</v>
      </c>
    </row>
    <row r="43" spans="1:23" x14ac:dyDescent="0.2">
      <c r="C43" s="81"/>
      <c r="D43" s="81"/>
      <c r="E43" s="81"/>
      <c r="F43" s="81"/>
      <c r="H43" s="73" t="s">
        <v>39</v>
      </c>
      <c r="I43" s="22">
        <f>I41</f>
        <v>310631544590.51147</v>
      </c>
      <c r="J43" s="63"/>
      <c r="K43" s="63">
        <v>7</v>
      </c>
      <c r="L43" s="63">
        <f t="shared" si="16"/>
        <v>828268.41580102069</v>
      </c>
      <c r="M43" s="63"/>
      <c r="N43" s="63">
        <v>7</v>
      </c>
      <c r="O43" s="63">
        <f t="shared" si="18"/>
        <v>4.802E-2</v>
      </c>
      <c r="P43" s="63">
        <f>L43*SUM(O$37:O43)*B$5</f>
        <v>73063.21349463964</v>
      </c>
      <c r="Q43" s="63">
        <f t="shared" si="10"/>
        <v>2754483.1487479145</v>
      </c>
      <c r="R43" s="70">
        <f t="shared" si="11"/>
        <v>49580696677.462463</v>
      </c>
      <c r="S43" s="70">
        <f t="shared" si="12"/>
        <v>44673536005.881866</v>
      </c>
      <c r="T43" s="70">
        <f t="shared" si="13"/>
        <v>14627269968.896826</v>
      </c>
      <c r="U43" s="70">
        <f t="shared" si="14"/>
        <v>11496901975.034796</v>
      </c>
      <c r="V43" s="70">
        <f t="shared" si="17"/>
        <v>1890000000</v>
      </c>
      <c r="W43" s="71">
        <f t="shared" si="15"/>
        <v>1485522915.6924183</v>
      </c>
    </row>
    <row r="44" spans="1:23" x14ac:dyDescent="0.2">
      <c r="C44" s="49"/>
      <c r="D44" s="49"/>
      <c r="E44" s="49"/>
      <c r="F44" s="49"/>
      <c r="H44" s="74"/>
      <c r="I44" s="24"/>
      <c r="J44" s="63"/>
      <c r="K44" s="63">
        <v>8</v>
      </c>
      <c r="L44" s="63">
        <f t="shared" si="16"/>
        <v>844833.78411704104</v>
      </c>
      <c r="M44" s="63"/>
      <c r="N44" s="63">
        <v>8</v>
      </c>
      <c r="O44" s="63">
        <f t="shared" si="18"/>
        <v>4.70596E-2</v>
      </c>
      <c r="P44" s="63">
        <f>L44*SUM(O$37:O44)*B$5</f>
        <v>98379.001732753022</v>
      </c>
      <c r="Q44" s="63">
        <f t="shared" si="10"/>
        <v>3708888.3653247892</v>
      </c>
      <c r="R44" s="70">
        <f t="shared" si="11"/>
        <v>66759990575.846207</v>
      </c>
      <c r="S44" s="70">
        <f t="shared" si="12"/>
        <v>59263586259.027756</v>
      </c>
      <c r="T44" s="70">
        <f t="shared" si="13"/>
        <v>19695495842.393002</v>
      </c>
      <c r="U44" s="70">
        <f t="shared" si="14"/>
        <v>14956987148.12236</v>
      </c>
      <c r="V44" s="70">
        <f t="shared" si="17"/>
        <v>2160000000</v>
      </c>
      <c r="W44" s="71">
        <f t="shared" si="15"/>
        <v>1640328961.4271009</v>
      </c>
    </row>
    <row r="45" spans="1:23" x14ac:dyDescent="0.2">
      <c r="H45" s="69" t="s">
        <v>29</v>
      </c>
      <c r="I45" s="22"/>
      <c r="J45" s="63"/>
      <c r="K45" s="63">
        <v>9</v>
      </c>
      <c r="L45" s="63">
        <f t="shared" si="16"/>
        <v>861730.45979938179</v>
      </c>
      <c r="M45" s="63"/>
      <c r="N45" s="63">
        <v>9</v>
      </c>
      <c r="O45" s="63">
        <f t="shared" si="18"/>
        <v>4.6118408E-2</v>
      </c>
      <c r="P45" s="63">
        <f>L45*SUM(O$37:O45)*B$5</f>
        <v>124191.56392604134</v>
      </c>
      <c r="Q45" s="63">
        <f t="shared" si="10"/>
        <v>4682021.9600117588</v>
      </c>
      <c r="R45" s="70">
        <f t="shared" si="11"/>
        <v>84276395280.211655</v>
      </c>
      <c r="S45" s="70">
        <f t="shared" si="12"/>
        <v>73707481343.933914</v>
      </c>
      <c r="T45" s="70">
        <f t="shared" si="13"/>
        <v>24863175961.169441</v>
      </c>
      <c r="U45" s="70">
        <f t="shared" si="14"/>
        <v>18242882269.710297</v>
      </c>
      <c r="V45" s="70">
        <f t="shared" si="17"/>
        <v>2429999999.9999995</v>
      </c>
      <c r="W45" s="71">
        <f t="shared" si="15"/>
        <v>1782966262.4207618</v>
      </c>
    </row>
    <row r="46" spans="1:23" x14ac:dyDescent="0.2">
      <c r="H46" s="69"/>
      <c r="I46" s="43"/>
      <c r="J46" s="63"/>
      <c r="K46" s="88">
        <v>10</v>
      </c>
      <c r="L46" s="88">
        <f t="shared" si="16"/>
        <v>878965.0689953696</v>
      </c>
      <c r="M46" s="63"/>
      <c r="N46" s="88">
        <v>10</v>
      </c>
      <c r="O46" s="63">
        <f t="shared" si="18"/>
        <v>4.519603984E-2</v>
      </c>
      <c r="P46" s="63">
        <f>L46*SUM(O$37:O46)*B$5</f>
        <v>150510.83937033205</v>
      </c>
      <c r="Q46" s="63">
        <f t="shared" si="10"/>
        <v>5674258.6442615185</v>
      </c>
      <c r="R46" s="70">
        <f t="shared" si="11"/>
        <v>102136655596.70734</v>
      </c>
      <c r="S46" s="70">
        <f t="shared" si="12"/>
        <v>88007809285.376968</v>
      </c>
      <c r="T46" s="70">
        <f t="shared" si="13"/>
        <v>30132300174.240654</v>
      </c>
      <c r="U46" s="70">
        <f t="shared" si="14"/>
        <v>21361354493.869442</v>
      </c>
      <c r="V46" s="70">
        <f>B$5*N46*(B$3/10)</f>
        <v>2700000000</v>
      </c>
      <c r="W46" s="71">
        <f t="shared" si="15"/>
        <v>1914080797.0163846</v>
      </c>
    </row>
    <row r="47" spans="1:23" x14ac:dyDescent="0.2">
      <c r="H47" s="73" t="s">
        <v>47</v>
      </c>
      <c r="I47" s="22">
        <f>SUM(W37:W46)</f>
        <v>11714130296.515038</v>
      </c>
      <c r="J47" s="63"/>
      <c r="K47" s="63">
        <v>11</v>
      </c>
      <c r="L47" s="63">
        <f t="shared" si="16"/>
        <v>896544.37037527678</v>
      </c>
      <c r="M47" s="63"/>
      <c r="N47" s="63">
        <v>11</v>
      </c>
      <c r="O47" s="63">
        <f t="shared" si="18"/>
        <v>4.4292119043199997E-2</v>
      </c>
      <c r="P47" s="63">
        <f>L47*SUM(O$37:O47)*B$5</f>
        <v>177346.96614584219</v>
      </c>
      <c r="Q47" s="63">
        <f t="shared" si="10"/>
        <v>6685980.6236982513</v>
      </c>
      <c r="R47" s="70">
        <f t="shared" si="11"/>
        <v>120347651226.56853</v>
      </c>
      <c r="S47" s="70">
        <f t="shared" si="12"/>
        <v>102167120666.66431</v>
      </c>
      <c r="T47" s="70">
        <f t="shared" si="13"/>
        <v>35504898127.295738</v>
      </c>
      <c r="U47" s="70">
        <f t="shared" si="14"/>
        <v>24318927788.684834</v>
      </c>
      <c r="V47" s="70">
        <f>V46</f>
        <v>2700000000</v>
      </c>
      <c r="W47" s="71">
        <f t="shared" si="15"/>
        <v>1849353427.0689707</v>
      </c>
    </row>
    <row r="48" spans="1:23" x14ac:dyDescent="0.2">
      <c r="H48" s="73"/>
      <c r="I48" s="22"/>
      <c r="J48" s="63"/>
      <c r="K48" s="63">
        <v>12</v>
      </c>
      <c r="L48" s="63">
        <f t="shared" si="16"/>
        <v>914475.25778278243</v>
      </c>
      <c r="M48" s="63"/>
      <c r="N48" s="63">
        <v>12</v>
      </c>
      <c r="O48" s="63">
        <f t="shared" si="18"/>
        <v>4.3406276662335999E-2</v>
      </c>
      <c r="P48" s="63">
        <f>L48*SUM(O$37:O48)*B$5</f>
        <v>204710.28509286733</v>
      </c>
      <c r="Q48" s="63">
        <f t="shared" si="10"/>
        <v>7717577.7480010986</v>
      </c>
      <c r="R48" s="70">
        <f t="shared" si="11"/>
        <v>138916399464.01978</v>
      </c>
      <c r="S48" s="70">
        <f t="shared" si="12"/>
        <v>116187929206.70251</v>
      </c>
      <c r="T48" s="70">
        <f t="shared" si="13"/>
        <v>40983040058.632103</v>
      </c>
      <c r="U48" s="70">
        <f t="shared" si="14"/>
        <v>27121891423.917049</v>
      </c>
      <c r="V48" s="70">
        <f>V47</f>
        <v>2700000000</v>
      </c>
      <c r="W48" s="71">
        <f t="shared" si="15"/>
        <v>1786814905.3806481</v>
      </c>
    </row>
    <row r="49" spans="1:23" x14ac:dyDescent="0.2">
      <c r="F49" s="52"/>
      <c r="H49" s="45" t="s">
        <v>32</v>
      </c>
      <c r="I49" s="25">
        <f>I43-I47</f>
        <v>298917414293.99646</v>
      </c>
      <c r="J49" s="63"/>
      <c r="K49" s="63">
        <v>13</v>
      </c>
      <c r="L49" s="63">
        <f t="shared" si="16"/>
        <v>932764.7629384381</v>
      </c>
      <c r="M49" s="63"/>
      <c r="N49" s="63">
        <v>13</v>
      </c>
      <c r="O49" s="63">
        <f t="shared" si="18"/>
        <v>4.2538151129089277E-2</v>
      </c>
      <c r="P49" s="63">
        <f>L49*SUM(O$37:O49)*B$5</f>
        <v>232611.34386698334</v>
      </c>
      <c r="Q49" s="63">
        <f t="shared" si="10"/>
        <v>8769447.6637852732</v>
      </c>
      <c r="R49" s="70">
        <f t="shared" si="11"/>
        <v>157850057948.13492</v>
      </c>
      <c r="S49" s="70">
        <f t="shared" si="12"/>
        <v>130072712328.35416</v>
      </c>
      <c r="T49" s="70">
        <f t="shared" si="13"/>
        <v>46568837611.007683</v>
      </c>
      <c r="U49" s="70">
        <f t="shared" si="14"/>
        <v>29776308165.897106</v>
      </c>
      <c r="V49" s="70">
        <f t="shared" ref="V49:V66" si="19">V48</f>
        <v>2700000000</v>
      </c>
      <c r="W49" s="71">
        <f t="shared" si="15"/>
        <v>1726391212.9281623</v>
      </c>
    </row>
    <row r="50" spans="1:23" ht="16" thickBot="1" x14ac:dyDescent="0.25">
      <c r="A50" s="3" t="s">
        <v>98</v>
      </c>
      <c r="B50" s="113">
        <v>1.2949999999999999</v>
      </c>
      <c r="H50" s="46" t="s">
        <v>33</v>
      </c>
      <c r="I50" s="26">
        <f>I43/I47</f>
        <v>26.517678797112627</v>
      </c>
      <c r="J50" s="63"/>
      <c r="K50" s="63">
        <v>14</v>
      </c>
      <c r="L50" s="63">
        <f t="shared" si="16"/>
        <v>951420.05819720682</v>
      </c>
      <c r="M50" s="63"/>
      <c r="N50" s="63">
        <v>14</v>
      </c>
      <c r="O50" s="63">
        <f t="shared" si="18"/>
        <v>4.1687388106507489E-2</v>
      </c>
      <c r="P50" s="63">
        <f>L50*SUM(O$37:O50)*B$5</f>
        <v>261060.90107535274</v>
      </c>
      <c r="Q50" s="63">
        <f t="shared" si="10"/>
        <v>9841995.9705407992</v>
      </c>
      <c r="R50" s="70">
        <f t="shared" si="11"/>
        <v>177155927469.73438</v>
      </c>
      <c r="S50" s="70">
        <f t="shared" si="12"/>
        <v>143823911718.21591</v>
      </c>
      <c r="T50" s="70">
        <f t="shared" si="13"/>
        <v>52264444659.730286</v>
      </c>
      <c r="U50" s="70">
        <f t="shared" si="14"/>
        <v>32288022189.704277</v>
      </c>
      <c r="V50" s="70">
        <f t="shared" si="19"/>
        <v>2700000000</v>
      </c>
      <c r="W50" s="71">
        <f t="shared" si="15"/>
        <v>1668010833.7470171</v>
      </c>
    </row>
    <row r="51" spans="1:23" ht="17" thickBot="1" x14ac:dyDescent="0.25">
      <c r="B51" s="82" t="s">
        <v>76</v>
      </c>
      <c r="C51" s="75"/>
      <c r="D51" s="75"/>
      <c r="E51" s="75"/>
      <c r="F51" s="75"/>
      <c r="H51" s="74"/>
      <c r="I51" s="27"/>
      <c r="J51" s="63"/>
      <c r="K51" s="63">
        <v>15</v>
      </c>
      <c r="L51" s="63">
        <f t="shared" si="16"/>
        <v>970448.45936115086</v>
      </c>
      <c r="M51" s="63"/>
      <c r="N51" s="63">
        <v>15</v>
      </c>
      <c r="O51" s="63">
        <f t="shared" si="18"/>
        <v>4.0853640344377336E-2</v>
      </c>
      <c r="P51" s="63">
        <f>L51*SUM(O$37:O51)*B$5</f>
        <v>290069.93049575709</v>
      </c>
      <c r="Q51" s="63">
        <f t="shared" si="10"/>
        <v>10935636.379690044</v>
      </c>
      <c r="R51" s="70">
        <f t="shared" si="11"/>
        <v>196841454834.42078</v>
      </c>
      <c r="S51" s="70">
        <f t="shared" si="12"/>
        <v>157443933877.94824</v>
      </c>
      <c r="T51" s="70">
        <f t="shared" si="13"/>
        <v>58072058157.308731</v>
      </c>
      <c r="U51" s="70">
        <f t="shared" si="14"/>
        <v>34662666718.331657</v>
      </c>
      <c r="V51" s="70">
        <f t="shared" si="19"/>
        <v>2700000000</v>
      </c>
      <c r="W51" s="71">
        <f t="shared" si="15"/>
        <v>1611604670.286973</v>
      </c>
    </row>
    <row r="52" spans="1:23" ht="21" x14ac:dyDescent="0.25">
      <c r="B52" s="82"/>
      <c r="C52" s="85"/>
      <c r="D52" s="81"/>
      <c r="E52" s="81"/>
      <c r="F52" s="81"/>
      <c r="H52" s="62" t="s">
        <v>43</v>
      </c>
      <c r="I52" s="21">
        <v>30</v>
      </c>
      <c r="J52" s="63"/>
      <c r="K52" s="63">
        <v>16</v>
      </c>
      <c r="L52" s="63">
        <f t="shared" si="16"/>
        <v>989857.42854837398</v>
      </c>
      <c r="M52" s="63"/>
      <c r="N52" s="63">
        <v>16</v>
      </c>
      <c r="O52" s="63">
        <f t="shared" si="18"/>
        <v>4.0036567537489791E-2</v>
      </c>
      <c r="P52" s="63">
        <f>L52*SUM(O$37:O52)*B$5</f>
        <v>319649.62538000999</v>
      </c>
      <c r="Q52" s="63">
        <f t="shared" si="10"/>
        <v>12050790.876826378</v>
      </c>
      <c r="R52" s="70">
        <f t="shared" si="11"/>
        <v>216914235782.87479</v>
      </c>
      <c r="S52" s="70">
        <f t="shared" si="12"/>
        <v>170935150667.28488</v>
      </c>
      <c r="T52" s="70">
        <f t="shared" si="13"/>
        <v>63993918994.997002</v>
      </c>
      <c r="U52" s="70">
        <f t="shared" si="14"/>
        <v>36905671398.211998</v>
      </c>
      <c r="V52" s="70">
        <f t="shared" si="19"/>
        <v>2700000000</v>
      </c>
      <c r="W52" s="71">
        <f t="shared" si="15"/>
        <v>1557105961.629926</v>
      </c>
    </row>
    <row r="53" spans="1:23" x14ac:dyDescent="0.2">
      <c r="A53" s="3" t="s">
        <v>63</v>
      </c>
      <c r="B53" s="101"/>
      <c r="C53" s="86"/>
      <c r="D53" s="86"/>
      <c r="E53" s="86"/>
      <c r="F53" s="86"/>
      <c r="H53" s="69" t="s">
        <v>12</v>
      </c>
      <c r="I53" s="22"/>
      <c r="J53" s="63"/>
      <c r="K53" s="63">
        <v>17</v>
      </c>
      <c r="L53" s="63">
        <f t="shared" si="16"/>
        <v>1009654.5771193416</v>
      </c>
      <c r="M53" s="63"/>
      <c r="N53" s="63">
        <v>17</v>
      </c>
      <c r="O53" s="63">
        <f t="shared" si="18"/>
        <v>3.9235836186739995E-2</v>
      </c>
      <c r="P53" s="63">
        <f>L53*SUM(O$37:O53)*B$5</f>
        <v>349811.40284343826</v>
      </c>
      <c r="Q53" s="63">
        <f t="shared" si="10"/>
        <v>13187889.887197623</v>
      </c>
      <c r="R53" s="70">
        <f t="shared" si="11"/>
        <v>237382017969.55722</v>
      </c>
      <c r="S53" s="70">
        <f t="shared" si="12"/>
        <v>184299899838.84915</v>
      </c>
      <c r="T53" s="70">
        <f t="shared" si="13"/>
        <v>70032312881.569229</v>
      </c>
      <c r="U53" s="70">
        <f t="shared" si="14"/>
        <v>39022269420.155205</v>
      </c>
      <c r="V53" s="70">
        <f t="shared" si="19"/>
        <v>2700000000</v>
      </c>
      <c r="W53" s="71">
        <f t="shared" si="15"/>
        <v>1504450204.4733584</v>
      </c>
    </row>
    <row r="54" spans="1:23" x14ac:dyDescent="0.2">
      <c r="A54" s="56" t="s">
        <v>100</v>
      </c>
      <c r="B54" s="108">
        <v>1400000000</v>
      </c>
      <c r="C54" s="86"/>
      <c r="D54" s="86"/>
      <c r="E54" s="86"/>
      <c r="F54" s="86"/>
      <c r="H54" s="69" t="s">
        <v>13</v>
      </c>
      <c r="I54" s="43" t="s">
        <v>1</v>
      </c>
      <c r="J54" s="63"/>
      <c r="K54" s="63">
        <v>18</v>
      </c>
      <c r="L54" s="63">
        <f t="shared" si="16"/>
        <v>1029847.6686617283</v>
      </c>
      <c r="M54" s="63"/>
      <c r="N54" s="63">
        <v>18</v>
      </c>
      <c r="O54" s="63">
        <f t="shared" si="18"/>
        <v>3.8451119463005196E-2</v>
      </c>
      <c r="P54" s="63">
        <f>L54*SUM(O$37:O54)*B$5</f>
        <v>380566.90834215266</v>
      </c>
      <c r="Q54" s="63">
        <f t="shared" si="10"/>
        <v>14347372.444499156</v>
      </c>
      <c r="R54" s="70">
        <f t="shared" si="11"/>
        <v>258252704000.9848</v>
      </c>
      <c r="S54" s="70">
        <f t="shared" si="12"/>
        <v>197540485564.90033</v>
      </c>
      <c r="T54" s="70">
        <f t="shared" si="13"/>
        <v>76189571239.670212</v>
      </c>
      <c r="U54" s="70">
        <f t="shared" si="14"/>
        <v>41017504394.43885</v>
      </c>
      <c r="V54" s="70">
        <f t="shared" si="19"/>
        <v>2700000000</v>
      </c>
      <c r="W54" s="71">
        <f t="shared" si="15"/>
        <v>1453575076.7858536</v>
      </c>
    </row>
    <row r="55" spans="1:23" x14ac:dyDescent="0.2">
      <c r="A55" s="56" t="s">
        <v>108</v>
      </c>
      <c r="B55" s="116">
        <f>B54/B50</f>
        <v>1081081081.0810812</v>
      </c>
      <c r="C55" s="75"/>
      <c r="D55" s="75"/>
      <c r="E55" s="75"/>
      <c r="F55" s="75"/>
      <c r="H55" s="73" t="s">
        <v>22</v>
      </c>
      <c r="I55" s="23">
        <f>SUM(P37:P66)</f>
        <v>9932890.723405011</v>
      </c>
      <c r="J55" s="63"/>
      <c r="K55" s="63">
        <v>19</v>
      </c>
      <c r="L55" s="63">
        <f t="shared" si="16"/>
        <v>1050444.6220349628</v>
      </c>
      <c r="N55" s="63">
        <v>19</v>
      </c>
      <c r="O55" s="63">
        <f t="shared" si="18"/>
        <v>3.7682097073745091E-2</v>
      </c>
      <c r="P55" s="63">
        <f>L55*SUM(O$37:O55)*B$5</f>
        <v>411928.02023986465</v>
      </c>
      <c r="Q55" s="63">
        <f t="shared" si="10"/>
        <v>15529686.363042898</v>
      </c>
      <c r="R55" s="70">
        <f t="shared" si="11"/>
        <v>279534354534.77216</v>
      </c>
      <c r="S55" s="70">
        <f t="shared" si="12"/>
        <v>210659178956.1348</v>
      </c>
      <c r="T55" s="70">
        <f t="shared" si="13"/>
        <v>82468072120.093033</v>
      </c>
      <c r="U55" s="70">
        <f t="shared" si="14"/>
        <v>42896236988.493675</v>
      </c>
      <c r="V55" s="70">
        <f t="shared" si="19"/>
        <v>2700000000</v>
      </c>
      <c r="W55" s="71">
        <f t="shared" si="15"/>
        <v>1404420364.0443034</v>
      </c>
    </row>
    <row r="56" spans="1:23" x14ac:dyDescent="0.2">
      <c r="A56" s="80" t="s">
        <v>78</v>
      </c>
      <c r="B56" s="109">
        <v>5400</v>
      </c>
      <c r="C56" s="86"/>
      <c r="D56" s="86"/>
      <c r="E56" s="86"/>
      <c r="F56" s="86"/>
      <c r="H56" s="73" t="s">
        <v>23</v>
      </c>
      <c r="I56" s="22">
        <f>I55*B$20</f>
        <v>374469980.27236897</v>
      </c>
      <c r="J56" s="63"/>
      <c r="K56" s="63">
        <v>20</v>
      </c>
      <c r="L56" s="63">
        <f t="shared" si="16"/>
        <v>1071453.5144756623</v>
      </c>
      <c r="M56" s="63"/>
      <c r="N56" s="63">
        <v>20</v>
      </c>
      <c r="O56" s="63">
        <f t="shared" si="18"/>
        <v>3.6928455132270187E-2</v>
      </c>
      <c r="P56" s="63">
        <f>L56*SUM(O$37:O56)*B$5</f>
        <v>443906.8544660387</v>
      </c>
      <c r="Q56" s="63">
        <f t="shared" si="10"/>
        <v>16735288.413369659</v>
      </c>
      <c r="R56" s="70">
        <f t="shared" si="11"/>
        <v>301235191440.65387</v>
      </c>
      <c r="S56" s="70">
        <f t="shared" si="12"/>
        <v>223658218572.66052</v>
      </c>
      <c r="T56" s="70">
        <f t="shared" si="13"/>
        <v>88870241134.342087</v>
      </c>
      <c r="U56" s="70">
        <f t="shared" si="14"/>
        <v>44663151335.336456</v>
      </c>
      <c r="V56" s="70">
        <f t="shared" si="19"/>
        <v>2700000000</v>
      </c>
      <c r="W56" s="71">
        <f t="shared" si="15"/>
        <v>1356927887.9655104</v>
      </c>
    </row>
    <row r="57" spans="1:23" x14ac:dyDescent="0.2">
      <c r="A57" s="80" t="s">
        <v>69</v>
      </c>
      <c r="B57" s="110">
        <f>B54/B56</f>
        <v>259259.25925925927</v>
      </c>
      <c r="C57" s="50"/>
      <c r="D57" s="50"/>
      <c r="E57" s="50"/>
      <c r="F57" s="50"/>
      <c r="H57" s="73" t="s">
        <v>37</v>
      </c>
      <c r="I57" s="22">
        <f>SUM(S37:S66)</f>
        <v>4874163495140.1953</v>
      </c>
      <c r="J57" s="63"/>
      <c r="K57" s="63">
        <v>21</v>
      </c>
      <c r="L57" s="63">
        <f t="shared" si="16"/>
        <v>1092882.5847651754</v>
      </c>
      <c r="M57" s="63"/>
      <c r="N57" s="63">
        <v>21</v>
      </c>
      <c r="O57" s="63">
        <f t="shared" si="18"/>
        <v>3.6189886029624779E-2</v>
      </c>
      <c r="P57" s="63">
        <f>L57*SUM(O$37:O57)*B$5</f>
        <v>476515.76926720748</v>
      </c>
      <c r="Q57" s="63">
        <f t="shared" si="10"/>
        <v>17964644.501373723</v>
      </c>
      <c r="R57" s="70">
        <f t="shared" si="11"/>
        <v>323363601024.72699</v>
      </c>
      <c r="S57" s="70">
        <f t="shared" si="12"/>
        <v>236539810927.26523</v>
      </c>
      <c r="T57" s="70">
        <f t="shared" si="13"/>
        <v>95398552405.847351</v>
      </c>
      <c r="U57" s="70">
        <f t="shared" si="14"/>
        <v>46322761220.623909</v>
      </c>
      <c r="V57" s="70">
        <f t="shared" si="19"/>
        <v>2700000000</v>
      </c>
      <c r="W57" s="71">
        <f t="shared" si="15"/>
        <v>1311041437.6478362</v>
      </c>
    </row>
    <row r="58" spans="1:23" x14ac:dyDescent="0.2">
      <c r="A58" s="80" t="s">
        <v>179</v>
      </c>
      <c r="B58" s="112">
        <f>B57/B50</f>
        <v>200200.20020020023</v>
      </c>
      <c r="C58" s="51"/>
      <c r="D58" s="51"/>
      <c r="E58" s="51"/>
      <c r="F58" s="51"/>
      <c r="H58" s="83" t="s">
        <v>41</v>
      </c>
      <c r="I58" s="30">
        <f>SUM(U37:U66)</f>
        <v>952849365029.71753</v>
      </c>
      <c r="J58" s="63"/>
      <c r="K58" s="63">
        <v>22</v>
      </c>
      <c r="L58" s="63">
        <f t="shared" si="16"/>
        <v>1114740.2364604787</v>
      </c>
      <c r="M58" s="63"/>
      <c r="N58" s="63">
        <v>22</v>
      </c>
      <c r="O58" s="63">
        <f t="shared" si="18"/>
        <v>3.5466088309032286E-2</v>
      </c>
      <c r="P58" s="63">
        <f>L58*SUM(O$37:O58)*B$5</f>
        <v>509767.37005331489</v>
      </c>
      <c r="Q58" s="63">
        <f t="shared" si="10"/>
        <v>19218229.851009972</v>
      </c>
      <c r="R58" s="70">
        <f t="shared" si="11"/>
        <v>345928137318.1795</v>
      </c>
      <c r="S58" s="70">
        <f t="shared" si="12"/>
        <v>249306130981.09586</v>
      </c>
      <c r="T58" s="70">
        <f t="shared" si="13"/>
        <v>102055529540.2032</v>
      </c>
      <c r="U58" s="70">
        <f t="shared" si="14"/>
        <v>47879416055.931023</v>
      </c>
      <c r="V58" s="70">
        <f t="shared" si="19"/>
        <v>2700000000</v>
      </c>
      <c r="W58" s="71">
        <f t="shared" si="15"/>
        <v>1266706703.0413878</v>
      </c>
    </row>
    <row r="59" spans="1:23" x14ac:dyDescent="0.2">
      <c r="C59" s="81"/>
      <c r="D59" s="81"/>
      <c r="E59" s="81"/>
      <c r="F59" s="81"/>
      <c r="H59" s="73" t="s">
        <v>39</v>
      </c>
      <c r="I59" s="22">
        <f>I57</f>
        <v>4874163495140.1953</v>
      </c>
      <c r="J59" s="63"/>
      <c r="K59" s="63">
        <v>23</v>
      </c>
      <c r="L59" s="63">
        <f t="shared" si="16"/>
        <v>1137035.0411896883</v>
      </c>
      <c r="M59" s="63"/>
      <c r="N59" s="63">
        <v>23</v>
      </c>
      <c r="O59" s="63">
        <f t="shared" si="18"/>
        <v>3.475676654285164E-2</v>
      </c>
      <c r="P59" s="63">
        <f>L59*SUM(O$37:O59)*B$5</f>
        <v>543674.51434098417</v>
      </c>
      <c r="Q59" s="63">
        <f t="shared" si="10"/>
        <v>20496529.190655105</v>
      </c>
      <c r="R59" s="70">
        <f t="shared" si="11"/>
        <v>368937525431.79187</v>
      </c>
      <c r="S59" s="70">
        <f t="shared" si="12"/>
        <v>261959322631.86221</v>
      </c>
      <c r="T59" s="70">
        <f t="shared" si="13"/>
        <v>108843746614.81166</v>
      </c>
      <c r="U59" s="70">
        <f t="shared" si="14"/>
        <v>49337306645.596817</v>
      </c>
      <c r="V59" s="70">
        <f t="shared" si="19"/>
        <v>2700000000</v>
      </c>
      <c r="W59" s="71">
        <f t="shared" si="15"/>
        <v>1223871210.6680076</v>
      </c>
    </row>
    <row r="60" spans="1:23" x14ac:dyDescent="0.2">
      <c r="B60" s="97"/>
      <c r="C60" s="81"/>
      <c r="D60" s="81"/>
      <c r="E60" s="81"/>
      <c r="F60" s="81"/>
      <c r="H60" s="74"/>
      <c r="I60" s="24"/>
      <c r="J60" s="63"/>
      <c r="K60" s="63">
        <v>24</v>
      </c>
      <c r="L60" s="63">
        <f t="shared" si="16"/>
        <v>1159775.7420134821</v>
      </c>
      <c r="M60" s="63"/>
      <c r="N60" s="63">
        <v>24</v>
      </c>
      <c r="O60" s="63">
        <f t="shared" si="18"/>
        <v>3.4061631211994604E-2</v>
      </c>
      <c r="P60" s="63">
        <f>L60*SUM(O$37:O60)*B$5</f>
        <v>578250.31679565227</v>
      </c>
      <c r="Q60" s="63">
        <f t="shared" si="10"/>
        <v>21800036.943196092</v>
      </c>
      <c r="R60" s="70">
        <f t="shared" si="11"/>
        <v>392400664977.52966</v>
      </c>
      <c r="S60" s="70">
        <f t="shared" si="12"/>
        <v>274501499194.68185</v>
      </c>
      <c r="T60" s="70">
        <f t="shared" si="13"/>
        <v>115765829188.31879</v>
      </c>
      <c r="U60" s="70">
        <f t="shared" si="14"/>
        <v>50700470754.229195</v>
      </c>
      <c r="V60" s="70">
        <f t="shared" si="19"/>
        <v>2700000000</v>
      </c>
      <c r="W60" s="71">
        <f t="shared" si="15"/>
        <v>1182484261.5149832</v>
      </c>
    </row>
    <row r="61" spans="1:23" x14ac:dyDescent="0.2">
      <c r="B61" s="102"/>
      <c r="C61" s="86"/>
      <c r="D61" s="86"/>
      <c r="E61" s="86"/>
      <c r="F61" s="86"/>
      <c r="H61" s="69" t="s">
        <v>29</v>
      </c>
      <c r="I61" s="22"/>
      <c r="J61" s="63"/>
      <c r="K61" s="63">
        <v>25</v>
      </c>
      <c r="L61" s="63">
        <f t="shared" si="16"/>
        <v>1182971.2568537516</v>
      </c>
      <c r="M61" s="63"/>
      <c r="N61" s="63">
        <v>25</v>
      </c>
      <c r="O61" s="63">
        <f t="shared" si="18"/>
        <v>3.3380398587754712E-2</v>
      </c>
      <c r="P61" s="63">
        <f>L61*SUM(O$37:O61)*B$5</f>
        <v>613508.15437454649</v>
      </c>
      <c r="Q61" s="63">
        <f t="shared" si="10"/>
        <v>23129257.419920404</v>
      </c>
      <c r="R61" s="70">
        <f t="shared" si="11"/>
        <v>416326633558.56726</v>
      </c>
      <c r="S61" s="70">
        <f t="shared" si="12"/>
        <v>286934743875.67517</v>
      </c>
      <c r="T61" s="70">
        <f t="shared" si="13"/>
        <v>122824455330.23955</v>
      </c>
      <c r="U61" s="70">
        <f t="shared" si="14"/>
        <v>51972798481.717079</v>
      </c>
      <c r="V61" s="70">
        <f t="shared" si="19"/>
        <v>2700000000</v>
      </c>
      <c r="W61" s="71">
        <f t="shared" si="15"/>
        <v>1142496871.0289695</v>
      </c>
    </row>
    <row r="62" spans="1:23" x14ac:dyDescent="0.2">
      <c r="A62" s="84" t="s">
        <v>99</v>
      </c>
      <c r="B62" s="111">
        <v>5400</v>
      </c>
      <c r="C62" s="86"/>
      <c r="D62" s="86"/>
      <c r="E62" s="86"/>
      <c r="F62" s="86"/>
      <c r="H62" s="69" t="s">
        <v>13</v>
      </c>
      <c r="I62" s="43" t="s">
        <v>1</v>
      </c>
      <c r="J62" s="63"/>
      <c r="K62" s="63">
        <v>26</v>
      </c>
      <c r="L62" s="63">
        <f t="shared" si="16"/>
        <v>1206630.681990827</v>
      </c>
      <c r="M62" s="63"/>
      <c r="N62" s="63">
        <v>26</v>
      </c>
      <c r="O62" s="63">
        <f t="shared" si="18"/>
        <v>3.2712790615999618E-2</v>
      </c>
      <c r="P62" s="63">
        <f>L62*SUM(O$37:O62)*B$5</f>
        <v>649461.67157252168</v>
      </c>
      <c r="Q62" s="63">
        <f t="shared" si="10"/>
        <v>24484705.018284068</v>
      </c>
      <c r="R62" s="70">
        <f t="shared" si="11"/>
        <v>440724690329.11322</v>
      </c>
      <c r="S62" s="70">
        <f t="shared" si="12"/>
        <v>299261110238.42297</v>
      </c>
      <c r="T62" s="70">
        <f t="shared" si="13"/>
        <v>130022356671.17552</v>
      </c>
      <c r="U62" s="70">
        <f t="shared" si="14"/>
        <v>53158037452.363815</v>
      </c>
      <c r="V62" s="70">
        <f t="shared" si="19"/>
        <v>2700000000</v>
      </c>
      <c r="W62" s="71">
        <f t="shared" si="15"/>
        <v>1103861711.1391008</v>
      </c>
    </row>
    <row r="63" spans="1:23" x14ac:dyDescent="0.2">
      <c r="B63" s="103"/>
      <c r="C63" s="75"/>
      <c r="D63" s="75"/>
      <c r="E63" s="75"/>
      <c r="F63" s="75"/>
      <c r="H63" s="73" t="s">
        <v>47</v>
      </c>
      <c r="I63" s="22">
        <f>SUM(W37:W66)</f>
        <v>38917818536.234184</v>
      </c>
      <c r="J63" s="63"/>
      <c r="K63" s="63">
        <v>27</v>
      </c>
      <c r="L63" s="63">
        <f t="shared" si="16"/>
        <v>1230763.2956306431</v>
      </c>
      <c r="M63" s="63"/>
      <c r="N63" s="63">
        <v>27</v>
      </c>
      <c r="O63" s="63">
        <f t="shared" si="18"/>
        <v>3.2058534803679622E-2</v>
      </c>
      <c r="P63" s="63">
        <f>L63*SUM(O$37:O63)*B$5</f>
        <v>686124.78577281174</v>
      </c>
      <c r="Q63" s="63">
        <f t="shared" si="10"/>
        <v>25866904.423635006</v>
      </c>
      <c r="R63" s="70">
        <f t="shared" si="11"/>
        <v>465604279625.43011</v>
      </c>
      <c r="S63" s="70">
        <f t="shared" si="12"/>
        <v>311482622663.39325</v>
      </c>
      <c r="T63" s="70">
        <f t="shared" si="13"/>
        <v>137362319474.03641</v>
      </c>
      <c r="U63" s="70">
        <f t="shared" si="14"/>
        <v>54259797824.528778</v>
      </c>
      <c r="V63" s="70">
        <f t="shared" si="19"/>
        <v>2700000000</v>
      </c>
      <c r="W63" s="71">
        <f t="shared" si="15"/>
        <v>1066533054.2406772</v>
      </c>
    </row>
    <row r="64" spans="1:23" ht="16" x14ac:dyDescent="0.2">
      <c r="B64" s="104"/>
      <c r="C64" s="86"/>
      <c r="D64" s="86"/>
      <c r="E64" s="86"/>
      <c r="F64" s="86"/>
      <c r="H64" s="73"/>
      <c r="I64" s="22"/>
      <c r="J64" s="63"/>
      <c r="K64" s="63">
        <v>28</v>
      </c>
      <c r="L64" s="63">
        <f t="shared" si="16"/>
        <v>1255378.5615432565</v>
      </c>
      <c r="M64" s="63"/>
      <c r="N64" s="63">
        <v>28</v>
      </c>
      <c r="O64" s="63">
        <f t="shared" si="18"/>
        <v>3.1417364107606031E-2</v>
      </c>
      <c r="P64" s="63">
        <f>L64*SUM(O$37:O64)*B$5</f>
        <v>723511.69270480063</v>
      </c>
      <c r="Q64" s="63">
        <f t="shared" si="10"/>
        <v>27276390.814970985</v>
      </c>
      <c r="R64" s="70">
        <f t="shared" si="11"/>
        <v>490975034669.47772</v>
      </c>
      <c r="S64" s="70">
        <f t="shared" si="12"/>
        <v>323601276800.44641</v>
      </c>
      <c r="T64" s="70">
        <f t="shared" si="13"/>
        <v>144847185726.68683</v>
      </c>
      <c r="U64" s="70">
        <f t="shared" si="14"/>
        <v>55281557126.94577</v>
      </c>
      <c r="V64" s="70">
        <f t="shared" si="19"/>
        <v>2700000000</v>
      </c>
      <c r="W64" s="71">
        <f t="shared" si="15"/>
        <v>1030466719.0731183</v>
      </c>
    </row>
    <row r="65" spans="2:23" x14ac:dyDescent="0.2">
      <c r="B65" s="103"/>
      <c r="C65" s="50"/>
      <c r="D65" s="50"/>
      <c r="E65" s="50"/>
      <c r="F65" s="50"/>
      <c r="H65" s="45" t="s">
        <v>32</v>
      </c>
      <c r="I65" s="25">
        <f>+I59-I63</f>
        <v>4835245676603.9609</v>
      </c>
      <c r="J65" s="63"/>
      <c r="K65" s="63">
        <v>29</v>
      </c>
      <c r="L65" s="63">
        <f t="shared" si="16"/>
        <v>1280486.1327741211</v>
      </c>
      <c r="M65" s="63"/>
      <c r="N65" s="63">
        <v>29</v>
      </c>
      <c r="O65" s="63">
        <f>O64*$B$15</f>
        <v>3.0789016825453909E-2</v>
      </c>
      <c r="P65" s="63">
        <f>L65*SUM(O$37:O65)*B$5</f>
        <v>761636.87201094197</v>
      </c>
      <c r="Q65" s="63">
        <f t="shared" si="10"/>
        <v>28713710.074812513</v>
      </c>
      <c r="R65" s="70">
        <f t="shared" si="11"/>
        <v>516846781346.62524</v>
      </c>
      <c r="S65" s="70">
        <f t="shared" si="12"/>
        <v>335619040014.52063</v>
      </c>
      <c r="T65" s="70">
        <f t="shared" si="13"/>
        <v>152479854256.44485</v>
      </c>
      <c r="U65" s="70">
        <f t="shared" si="14"/>
        <v>56226664927.674347</v>
      </c>
      <c r="V65" s="70">
        <f t="shared" si="19"/>
        <v>2700000000</v>
      </c>
      <c r="W65" s="71">
        <f t="shared" si="15"/>
        <v>995620018.42813349</v>
      </c>
    </row>
    <row r="66" spans="2:23" ht="17" thickBot="1" x14ac:dyDescent="0.25">
      <c r="B66" s="105"/>
      <c r="C66" s="51"/>
      <c r="D66" s="51"/>
      <c r="E66" s="51"/>
      <c r="F66" s="51"/>
      <c r="H66" s="48" t="s">
        <v>33</v>
      </c>
      <c r="I66" s="28">
        <f>I59/ I63</f>
        <v>125.24246420960458</v>
      </c>
      <c r="J66" s="77"/>
      <c r="K66" s="77">
        <v>30</v>
      </c>
      <c r="L66" s="77">
        <f t="shared" si="16"/>
        <v>1306095.8554296037</v>
      </c>
      <c r="M66" s="77"/>
      <c r="N66" s="77">
        <v>30</v>
      </c>
      <c r="O66" s="77">
        <f>O65*$B$15</f>
        <v>3.0173236488944832E-2</v>
      </c>
      <c r="P66" s="77">
        <f>L66*SUM(O$37:O66)*B$5</f>
        <v>800515.09292502573</v>
      </c>
      <c r="Q66" s="77">
        <f t="shared" si="10"/>
        <v>30179419.003273472</v>
      </c>
      <c r="R66" s="78">
        <f t="shared" si="11"/>
        <v>543229542058.92249</v>
      </c>
      <c r="S66" s="78">
        <f t="shared" si="12"/>
        <v>347537851824.60645</v>
      </c>
      <c r="T66" s="78">
        <f t="shared" si="13"/>
        <v>160263281866.87204</v>
      </c>
      <c r="U66" s="78">
        <f t="shared" si="14"/>
        <v>57098347341.437935</v>
      </c>
      <c r="V66" s="114">
        <f t="shared" si="19"/>
        <v>2700000000</v>
      </c>
      <c r="W66" s="79">
        <f t="shared" si="15"/>
        <v>961951708.62621605</v>
      </c>
    </row>
    <row r="67" spans="2:23" x14ac:dyDescent="0.2">
      <c r="K67" s="88"/>
      <c r="L67" s="88"/>
      <c r="N67" s="88"/>
      <c r="O67" s="63"/>
    </row>
    <row r="68" spans="2:23" x14ac:dyDescent="0.2">
      <c r="K68" s="88"/>
      <c r="L68" s="88"/>
      <c r="N68" s="88"/>
      <c r="O68" s="63"/>
    </row>
    <row r="69" spans="2:23" x14ac:dyDescent="0.2">
      <c r="K69" s="88"/>
      <c r="L69" s="88"/>
      <c r="N69" s="88"/>
      <c r="O69" s="63"/>
    </row>
    <row r="70" spans="2:23" x14ac:dyDescent="0.2">
      <c r="K70" s="88"/>
      <c r="L70" s="88"/>
      <c r="N70" s="88"/>
      <c r="O70" s="63"/>
    </row>
    <row r="71" spans="2:23" x14ac:dyDescent="0.2">
      <c r="K71" s="88"/>
      <c r="L71" s="88"/>
      <c r="N71" s="88"/>
      <c r="O71" s="63"/>
    </row>
    <row r="72" spans="2:23" x14ac:dyDescent="0.2">
      <c r="O72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8BD92-E986-C844-975B-298E599E9195}">
  <dimension ref="A1:X121"/>
  <sheetViews>
    <sheetView topLeftCell="A12" zoomScale="110" zoomScaleNormal="110" workbookViewId="0">
      <selection activeCell="B53" sqref="B53"/>
    </sheetView>
  </sheetViews>
  <sheetFormatPr baseColWidth="10" defaultColWidth="8.83203125" defaultRowHeight="15" x14ac:dyDescent="0.2"/>
  <cols>
    <col min="1" max="1" width="58.1640625" style="56" customWidth="1"/>
    <col min="2" max="2" width="26.6640625" style="96" customWidth="1"/>
    <col min="3" max="3" width="26" style="72" customWidth="1"/>
    <col min="4" max="4" width="17.33203125" style="72" customWidth="1"/>
    <col min="5" max="5" width="17" style="72" customWidth="1"/>
    <col min="6" max="6" width="16.1640625" style="72" customWidth="1"/>
    <col min="7" max="7" width="15" style="72" customWidth="1"/>
    <col min="8" max="8" width="14" style="56" customWidth="1"/>
    <col min="9" max="9" width="39.83203125" style="56" customWidth="1"/>
    <col min="10" max="10" width="20.83203125" style="29" bestFit="1" customWidth="1"/>
    <col min="11" max="11" width="8.6640625" style="56" customWidth="1"/>
    <col min="12" max="12" width="15.33203125" style="56" customWidth="1"/>
    <col min="13" max="13" width="8.5" style="56" customWidth="1"/>
    <col min="14" max="14" width="15.83203125" style="56" bestFit="1" customWidth="1"/>
    <col min="15" max="15" width="8.83203125" style="56"/>
    <col min="16" max="16" width="15.5" style="56" bestFit="1" customWidth="1"/>
    <col min="17" max="17" width="15.5" style="56" customWidth="1"/>
    <col min="18" max="18" width="19.5" style="56" bestFit="1" customWidth="1"/>
    <col min="19" max="19" width="27.33203125" style="56" bestFit="1" customWidth="1"/>
    <col min="20" max="20" width="29.1640625" style="56" bestFit="1" customWidth="1"/>
    <col min="21" max="22" width="29.1640625" style="56" customWidth="1"/>
    <col min="23" max="24" width="17" style="56" bestFit="1" customWidth="1"/>
    <col min="25" max="16384" width="8.83203125" style="56"/>
  </cols>
  <sheetData>
    <row r="1" spans="1:24" ht="16" thickBot="1" x14ac:dyDescent="0.25">
      <c r="A1" s="54" t="s">
        <v>0</v>
      </c>
      <c r="B1" s="93"/>
      <c r="C1" s="55"/>
      <c r="D1" s="55"/>
      <c r="E1" s="55"/>
      <c r="F1" s="55"/>
      <c r="G1" s="55"/>
      <c r="I1" s="38" t="s">
        <v>115</v>
      </c>
      <c r="J1" s="20"/>
      <c r="K1" s="57"/>
      <c r="L1" s="58" t="s">
        <v>17</v>
      </c>
      <c r="M1" s="59"/>
      <c r="N1" s="57"/>
      <c r="O1" s="58" t="s">
        <v>18</v>
      </c>
      <c r="P1" s="58"/>
      <c r="Q1" s="58"/>
      <c r="R1" s="57"/>
      <c r="S1" s="57"/>
      <c r="T1" s="57"/>
      <c r="U1" s="57"/>
      <c r="V1" s="57"/>
      <c r="W1" s="57"/>
      <c r="X1" s="60"/>
    </row>
    <row r="2" spans="1:24" ht="16" x14ac:dyDescent="0.2">
      <c r="A2" s="54" t="s">
        <v>13</v>
      </c>
      <c r="B2" s="94" t="s">
        <v>1</v>
      </c>
      <c r="C2" s="61"/>
      <c r="D2" s="61"/>
      <c r="E2" s="61"/>
      <c r="F2" s="61"/>
      <c r="G2" s="61"/>
      <c r="I2" s="62" t="s">
        <v>43</v>
      </c>
      <c r="J2" s="21">
        <v>10</v>
      </c>
      <c r="K2" s="63"/>
      <c r="L2" s="64" t="s">
        <v>16</v>
      </c>
      <c r="M2" s="64" t="s">
        <v>52</v>
      </c>
      <c r="N2" s="63"/>
      <c r="O2" s="64" t="s">
        <v>16</v>
      </c>
      <c r="P2" s="65" t="s">
        <v>44</v>
      </c>
      <c r="Q2" s="65" t="s">
        <v>19</v>
      </c>
      <c r="R2" s="65" t="s">
        <v>26</v>
      </c>
      <c r="S2" s="65" t="s">
        <v>27</v>
      </c>
      <c r="T2" s="65" t="s">
        <v>28</v>
      </c>
      <c r="U2" s="65" t="s">
        <v>38</v>
      </c>
      <c r="V2" s="65" t="s">
        <v>40</v>
      </c>
      <c r="W2" s="66" t="s">
        <v>30</v>
      </c>
      <c r="X2" s="67" t="s">
        <v>31</v>
      </c>
    </row>
    <row r="3" spans="1:24" x14ac:dyDescent="0.2">
      <c r="A3" s="56" t="s">
        <v>2</v>
      </c>
      <c r="B3" s="95">
        <v>4500000000</v>
      </c>
      <c r="C3" s="68"/>
      <c r="D3" s="68"/>
      <c r="E3" s="68"/>
      <c r="F3" s="68"/>
      <c r="G3" s="68"/>
      <c r="I3" s="69" t="s">
        <v>12</v>
      </c>
      <c r="J3" s="22"/>
      <c r="K3" s="63"/>
      <c r="L3" s="63">
        <v>1</v>
      </c>
      <c r="M3" s="63">
        <f t="shared" ref="M3:M32" si="0">B$6*(B$10^L3)</f>
        <v>28500.758380391686</v>
      </c>
      <c r="N3" s="63"/>
      <c r="O3" s="63">
        <v>1</v>
      </c>
      <c r="P3" s="63">
        <v>0</v>
      </c>
      <c r="Q3" s="63">
        <f>M3*SUM(P$3:P3)*B$5</f>
        <v>0</v>
      </c>
      <c r="R3" s="63">
        <f t="shared" ref="R3:R32" si="1">B$19*Q3</f>
        <v>0</v>
      </c>
      <c r="S3" s="70">
        <f t="shared" ref="S3:S32" si="2">R3*B$8</f>
        <v>0</v>
      </c>
      <c r="T3" s="70">
        <f t="shared" ref="T3:T32" si="3">S3*(B$17^O3)</f>
        <v>0</v>
      </c>
      <c r="U3" s="70">
        <f t="shared" ref="U3:U32" si="4">Q3*B$16</f>
        <v>0</v>
      </c>
      <c r="V3" s="70">
        <f t="shared" ref="V3:V32" si="5">U3*(B$18^O3)</f>
        <v>0</v>
      </c>
      <c r="W3" s="70">
        <f t="shared" ref="W3:W12" si="6">B$5*O3*(B$3/10)*B$4</f>
        <v>91900019.916351303</v>
      </c>
      <c r="X3" s="71">
        <f t="shared" ref="X3:X32" si="7">W3*(B$18^O3)</f>
        <v>88792289.774252474</v>
      </c>
    </row>
    <row r="4" spans="1:24" x14ac:dyDescent="0.2">
      <c r="A4" s="56" t="s">
        <v>116</v>
      </c>
      <c r="B4" s="118">
        <f>'Fair Share Calculation'!C6</f>
        <v>0.34037044413463446</v>
      </c>
      <c r="C4" s="68"/>
      <c r="I4" s="69" t="s">
        <v>13</v>
      </c>
      <c r="J4" s="43" t="s">
        <v>1</v>
      </c>
      <c r="K4" s="63"/>
      <c r="L4" s="63">
        <v>2</v>
      </c>
      <c r="M4" s="63">
        <f t="shared" si="0"/>
        <v>29070.773547999517</v>
      </c>
      <c r="N4" s="63"/>
      <c r="O4" s="63">
        <v>2</v>
      </c>
      <c r="P4" s="63">
        <v>0</v>
      </c>
      <c r="Q4" s="63">
        <f>M4*SUM(P$3:P4)*B$5</f>
        <v>0</v>
      </c>
      <c r="R4" s="63">
        <f t="shared" si="1"/>
        <v>0</v>
      </c>
      <c r="S4" s="70">
        <f t="shared" si="2"/>
        <v>0</v>
      </c>
      <c r="T4" s="70">
        <f t="shared" si="3"/>
        <v>0</v>
      </c>
      <c r="U4" s="70">
        <f t="shared" si="4"/>
        <v>0</v>
      </c>
      <c r="V4" s="70">
        <f t="shared" si="5"/>
        <v>0</v>
      </c>
      <c r="W4" s="70">
        <f t="shared" si="6"/>
        <v>183800039.83270261</v>
      </c>
      <c r="X4" s="71">
        <f t="shared" si="7"/>
        <v>171579303.91159898</v>
      </c>
    </row>
    <row r="5" spans="1:24" x14ac:dyDescent="0.2">
      <c r="A5" s="56" t="s">
        <v>42</v>
      </c>
      <c r="B5" s="96">
        <v>0.6</v>
      </c>
      <c r="I5" s="73" t="s">
        <v>22</v>
      </c>
      <c r="J5" s="23">
        <f>SUM(Q3:Q12)</f>
        <v>20083.338980177636</v>
      </c>
      <c r="K5" s="63"/>
      <c r="L5" s="63">
        <v>3</v>
      </c>
      <c r="M5" s="63">
        <f t="shared" si="0"/>
        <v>29652.189018959507</v>
      </c>
      <c r="N5" s="63"/>
      <c r="O5" s="63">
        <v>3</v>
      </c>
      <c r="P5" s="63">
        <v>0</v>
      </c>
      <c r="Q5" s="63">
        <f>M5*SUM(P$3:P5)*B$5</f>
        <v>0</v>
      </c>
      <c r="R5" s="63">
        <f t="shared" si="1"/>
        <v>0</v>
      </c>
      <c r="S5" s="70">
        <f t="shared" si="2"/>
        <v>0</v>
      </c>
      <c r="T5" s="70">
        <f t="shared" si="3"/>
        <v>0</v>
      </c>
      <c r="U5" s="70">
        <f t="shared" si="4"/>
        <v>0</v>
      </c>
      <c r="V5" s="70">
        <f t="shared" si="5"/>
        <v>0</v>
      </c>
      <c r="W5" s="70">
        <f t="shared" si="6"/>
        <v>275700059.7490539</v>
      </c>
      <c r="X5" s="71">
        <f t="shared" si="7"/>
        <v>248665657.84289709</v>
      </c>
    </row>
    <row r="6" spans="1:24" x14ac:dyDescent="0.2">
      <c r="A6" s="87" t="s">
        <v>109</v>
      </c>
      <c r="B6" s="117">
        <f>B61</f>
        <v>27941.919980776162</v>
      </c>
      <c r="I6" s="73" t="s">
        <v>23</v>
      </c>
      <c r="J6" s="22">
        <f>J5*B$19</f>
        <v>337112.5753863689</v>
      </c>
      <c r="K6" s="63"/>
      <c r="L6" s="63">
        <v>4</v>
      </c>
      <c r="M6" s="63">
        <f t="shared" si="0"/>
        <v>30245.232799338697</v>
      </c>
      <c r="N6" s="63"/>
      <c r="O6" s="63">
        <v>4</v>
      </c>
      <c r="P6" s="63">
        <v>0</v>
      </c>
      <c r="Q6" s="63">
        <f>M6*SUM(P$3:P6)*B$5</f>
        <v>0</v>
      </c>
      <c r="R6" s="63">
        <f t="shared" si="1"/>
        <v>0</v>
      </c>
      <c r="S6" s="70">
        <f t="shared" si="2"/>
        <v>0</v>
      </c>
      <c r="T6" s="70">
        <f t="shared" si="3"/>
        <v>0</v>
      </c>
      <c r="U6" s="70">
        <f t="shared" si="4"/>
        <v>0</v>
      </c>
      <c r="V6" s="70">
        <f t="shared" si="5"/>
        <v>0</v>
      </c>
      <c r="W6" s="70">
        <f t="shared" si="6"/>
        <v>367600079.66540521</v>
      </c>
      <c r="X6" s="71">
        <f t="shared" si="7"/>
        <v>320342232.32579339</v>
      </c>
    </row>
    <row r="7" spans="1:24" x14ac:dyDescent="0.2">
      <c r="A7" s="56" t="s">
        <v>36</v>
      </c>
      <c r="B7" s="96">
        <f>1270000*B12</f>
        <v>927100</v>
      </c>
      <c r="I7" s="73" t="s">
        <v>37</v>
      </c>
      <c r="J7" s="22">
        <f>SUM(T3:T12)</f>
        <v>14975109602.638836</v>
      </c>
      <c r="K7" s="63"/>
      <c r="L7" s="63">
        <v>5</v>
      </c>
      <c r="M7" s="63">
        <f t="shared" si="0"/>
        <v>30850.137455325472</v>
      </c>
      <c r="N7" s="63"/>
      <c r="O7" s="63">
        <v>5</v>
      </c>
      <c r="P7" s="63">
        <f>B$14</f>
        <v>0.05</v>
      </c>
      <c r="Q7" s="63">
        <f>M7*SUM(P$3:P7)*B$5</f>
        <v>925.50412365976422</v>
      </c>
      <c r="R7" s="63">
        <f t="shared" si="1"/>
        <v>15535.219465527736</v>
      </c>
      <c r="S7" s="70">
        <f t="shared" si="2"/>
        <v>781322481.63923681</v>
      </c>
      <c r="T7" s="70">
        <f t="shared" si="3"/>
        <v>725270661.05317998</v>
      </c>
      <c r="U7" s="70">
        <f t="shared" si="4"/>
        <v>32494449.781694323</v>
      </c>
      <c r="V7" s="70">
        <f t="shared" si="5"/>
        <v>27359454.788018446</v>
      </c>
      <c r="W7" s="70">
        <f t="shared" si="6"/>
        <v>459500099.58175653</v>
      </c>
      <c r="X7" s="71">
        <f t="shared" si="7"/>
        <v>386886754.01665872</v>
      </c>
    </row>
    <row r="8" spans="1:24" x14ac:dyDescent="0.2">
      <c r="A8" s="56" t="s">
        <v>110</v>
      </c>
      <c r="B8" s="95">
        <f>B66</f>
        <v>50293.623683461432</v>
      </c>
      <c r="C8" s="68"/>
      <c r="D8" s="68"/>
      <c r="E8" s="68"/>
      <c r="F8" s="68"/>
      <c r="G8" s="68"/>
      <c r="I8" s="73" t="s">
        <v>41</v>
      </c>
      <c r="J8" s="22">
        <f>SUM(V3:V12)</f>
        <v>529676375.69183016</v>
      </c>
      <c r="K8" s="63"/>
      <c r="L8" s="63">
        <v>6</v>
      </c>
      <c r="M8" s="63">
        <f t="shared" si="0"/>
        <v>31467.140204431984</v>
      </c>
      <c r="N8" s="63"/>
      <c r="O8" s="63">
        <v>6</v>
      </c>
      <c r="P8" s="63">
        <f>P7*$B$15</f>
        <v>4.9000000000000002E-2</v>
      </c>
      <c r="Q8" s="63">
        <f>M8*SUM(P$3:P8)*B$5</f>
        <v>1869.1481281432598</v>
      </c>
      <c r="R8" s="63">
        <f t="shared" si="1"/>
        <v>31374.929232579816</v>
      </c>
      <c r="S8" s="70">
        <f t="shared" si="2"/>
        <v>1577958883.9186027</v>
      </c>
      <c r="T8" s="70">
        <f t="shared" si="3"/>
        <v>1443109977.401973</v>
      </c>
      <c r="U8" s="70">
        <f t="shared" si="4"/>
        <v>65625790.779109851</v>
      </c>
      <c r="V8" s="70">
        <f t="shared" si="5"/>
        <v>53386623.082011648</v>
      </c>
      <c r="W8" s="70">
        <f t="shared" si="6"/>
        <v>551400119.49810779</v>
      </c>
      <c r="X8" s="71">
        <f t="shared" si="7"/>
        <v>448564352.48308259</v>
      </c>
    </row>
    <row r="9" spans="1:24" x14ac:dyDescent="0.2">
      <c r="A9" s="56" t="s">
        <v>15</v>
      </c>
      <c r="B9" s="95">
        <f>18000</f>
        <v>18000</v>
      </c>
      <c r="C9" s="68"/>
      <c r="D9" s="68"/>
      <c r="E9" s="68"/>
      <c r="F9" s="68"/>
      <c r="G9" s="68"/>
      <c r="I9" s="73" t="s">
        <v>39</v>
      </c>
      <c r="J9" s="22">
        <f>J7+J8</f>
        <v>15504785978.330666</v>
      </c>
      <c r="K9" s="63"/>
      <c r="L9" s="63">
        <v>7</v>
      </c>
      <c r="M9" s="63">
        <f t="shared" si="0"/>
        <v>32096.483008520616</v>
      </c>
      <c r="N9" s="63"/>
      <c r="O9" s="63">
        <v>7</v>
      </c>
      <c r="P9" s="63">
        <f t="shared" ref="P9:P32" si="8">P8*$B$15</f>
        <v>4.802E-2</v>
      </c>
      <c r="Q9" s="63">
        <f>M9*SUM(P$3:P9)*B$5</f>
        <v>2831.2949591476208</v>
      </c>
      <c r="R9" s="63">
        <f t="shared" si="1"/>
        <v>47525.221592821836</v>
      </c>
      <c r="S9" s="70">
        <f t="shared" si="2"/>
        <v>2390215610.2624969</v>
      </c>
      <c r="T9" s="70">
        <f t="shared" si="3"/>
        <v>2153648300.2954755</v>
      </c>
      <c r="U9" s="70">
        <f t="shared" si="4"/>
        <v>99406766.015672967</v>
      </c>
      <c r="V9" s="70">
        <f t="shared" si="5"/>
        <v>78132819.519130424</v>
      </c>
      <c r="W9" s="70">
        <f t="shared" si="6"/>
        <v>643300139.41445911</v>
      </c>
      <c r="X9" s="71">
        <f t="shared" si="7"/>
        <v>505628094.58640558</v>
      </c>
    </row>
    <row r="10" spans="1:24" x14ac:dyDescent="0.2">
      <c r="A10" s="56" t="s">
        <v>4</v>
      </c>
      <c r="B10" s="96">
        <v>1.02</v>
      </c>
      <c r="I10" s="74"/>
      <c r="J10" s="24"/>
      <c r="K10" s="63"/>
      <c r="L10" s="63">
        <v>8</v>
      </c>
      <c r="M10" s="63">
        <f t="shared" si="0"/>
        <v>32738.412668691031</v>
      </c>
      <c r="N10" s="63"/>
      <c r="O10" s="63">
        <v>8</v>
      </c>
      <c r="P10" s="63">
        <f t="shared" si="8"/>
        <v>4.70596E-2</v>
      </c>
      <c r="Q10" s="63">
        <f>M10*SUM(P$3:P10)*B$5</f>
        <v>3812.3148212246929</v>
      </c>
      <c r="R10" s="63">
        <f t="shared" si="1"/>
        <v>63992.310682758463</v>
      </c>
      <c r="S10" s="70">
        <f t="shared" si="2"/>
        <v>3218405192.1138029</v>
      </c>
      <c r="T10" s="70">
        <f t="shared" si="3"/>
        <v>2857014089.9382763</v>
      </c>
      <c r="U10" s="70">
        <f t="shared" si="4"/>
        <v>133850373.37319897</v>
      </c>
      <c r="V10" s="70">
        <f t="shared" si="5"/>
        <v>101647520.34346721</v>
      </c>
      <c r="W10" s="70">
        <f t="shared" si="6"/>
        <v>735200159.33081043</v>
      </c>
      <c r="X10" s="71">
        <f t="shared" si="7"/>
        <v>558319497.127846</v>
      </c>
    </row>
    <row r="11" spans="1:24" x14ac:dyDescent="0.2">
      <c r="A11" s="56" t="s">
        <v>5</v>
      </c>
      <c r="B11" s="96">
        <v>1.02</v>
      </c>
      <c r="C11" s="127"/>
      <c r="I11" s="69" t="s">
        <v>29</v>
      </c>
      <c r="J11" s="22"/>
      <c r="K11" s="63"/>
      <c r="L11" s="63">
        <v>9</v>
      </c>
      <c r="M11" s="63">
        <f t="shared" si="0"/>
        <v>33393.18092206485</v>
      </c>
      <c r="N11" s="63"/>
      <c r="O11" s="63">
        <v>9</v>
      </c>
      <c r="P11" s="63">
        <f t="shared" si="8"/>
        <v>4.6118408E-2</v>
      </c>
      <c r="Q11" s="63">
        <f>M11*SUM(P$3:P11)*B$5</f>
        <v>4812.5853229581489</v>
      </c>
      <c r="R11" s="63">
        <f t="shared" si="1"/>
        <v>80782.534920630598</v>
      </c>
      <c r="S11" s="70">
        <f t="shared" si="2"/>
        <v>4062846411.494277</v>
      </c>
      <c r="T11" s="70">
        <f t="shared" si="3"/>
        <v>3553333944.6092548</v>
      </c>
      <c r="U11" s="70">
        <f t="shared" si="4"/>
        <v>168969870.6890606</v>
      </c>
      <c r="V11" s="70">
        <f t="shared" si="5"/>
        <v>123978427.49143781</v>
      </c>
      <c r="W11" s="70">
        <f t="shared" si="6"/>
        <v>827100179.24716163</v>
      </c>
      <c r="X11" s="71">
        <f t="shared" si="7"/>
        <v>606869018.61722398</v>
      </c>
    </row>
    <row r="12" spans="1:24" x14ac:dyDescent="0.2">
      <c r="A12" s="56" t="s">
        <v>77</v>
      </c>
      <c r="B12" s="96">
        <v>0.73</v>
      </c>
      <c r="I12" s="69" t="s">
        <v>13</v>
      </c>
      <c r="J12" s="43" t="s">
        <v>1</v>
      </c>
      <c r="K12" s="63"/>
      <c r="L12" s="63">
        <v>10</v>
      </c>
      <c r="M12" s="63">
        <f t="shared" si="0"/>
        <v>34061.044540506155</v>
      </c>
      <c r="N12" s="63"/>
      <c r="O12" s="63">
        <v>10</v>
      </c>
      <c r="P12" s="63">
        <f t="shared" si="8"/>
        <v>4.519603984E-2</v>
      </c>
      <c r="Q12" s="63">
        <f>M12*SUM(P$3:P12)*B$5</f>
        <v>5832.4916250441502</v>
      </c>
      <c r="R12" s="63">
        <f t="shared" si="1"/>
        <v>97902.359492050484</v>
      </c>
      <c r="S12" s="70">
        <f t="shared" si="2"/>
        <v>4923864426.0161457</v>
      </c>
      <c r="T12" s="70">
        <f t="shared" si="3"/>
        <v>4242732629.3406749</v>
      </c>
      <c r="U12" s="70">
        <f t="shared" si="4"/>
        <v>204778780.95530012</v>
      </c>
      <c r="V12" s="70">
        <f t="shared" si="5"/>
        <v>145171530.46776462</v>
      </c>
      <c r="W12" s="70">
        <f t="shared" si="6"/>
        <v>919000199.16351306</v>
      </c>
      <c r="X12" s="71">
        <f t="shared" si="7"/>
        <v>651496530.99004197</v>
      </c>
    </row>
    <row r="13" spans="1:24" x14ac:dyDescent="0.2">
      <c r="A13" s="56" t="s">
        <v>7</v>
      </c>
      <c r="B13" s="96">
        <v>4</v>
      </c>
      <c r="I13" s="73" t="s">
        <v>170</v>
      </c>
      <c r="J13" s="22">
        <f>SUM(X3:X12)</f>
        <v>3987143731.6758003</v>
      </c>
      <c r="K13" s="63"/>
      <c r="L13" s="63">
        <v>11</v>
      </c>
      <c r="M13" s="63">
        <f t="shared" si="0"/>
        <v>34742.265431316271</v>
      </c>
      <c r="N13" s="63"/>
      <c r="O13" s="63">
        <v>11</v>
      </c>
      <c r="P13" s="63">
        <f t="shared" si="8"/>
        <v>4.4292119043199997E-2</v>
      </c>
      <c r="Q13" s="63">
        <f>M13*SUM(P$3:P13)*B$5</f>
        <v>6872.4265913336203</v>
      </c>
      <c r="R13" s="63">
        <f t="shared" si="1"/>
        <v>115358.37888534956</v>
      </c>
      <c r="S13" s="70">
        <f t="shared" si="2"/>
        <v>5801790896.3939342</v>
      </c>
      <c r="T13" s="70">
        <f t="shared" si="3"/>
        <v>4925333104.1642694</v>
      </c>
      <c r="U13" s="70">
        <f t="shared" si="4"/>
        <v>241290897.62172341</v>
      </c>
      <c r="V13" s="70">
        <f t="shared" si="5"/>
        <v>165271166.08788234</v>
      </c>
      <c r="W13" s="70">
        <f>W$12</f>
        <v>919000199.16351306</v>
      </c>
      <c r="X13" s="71">
        <f t="shared" si="7"/>
        <v>629465247.3333739</v>
      </c>
    </row>
    <row r="14" spans="1:24" x14ac:dyDescent="0.2">
      <c r="A14" s="56" t="s">
        <v>46</v>
      </c>
      <c r="B14" s="96">
        <v>0.05</v>
      </c>
      <c r="I14" s="73"/>
      <c r="J14" s="22"/>
      <c r="K14" s="63"/>
      <c r="L14" s="63">
        <v>12</v>
      </c>
      <c r="M14" s="63">
        <f t="shared" si="0"/>
        <v>35437.110739942596</v>
      </c>
      <c r="N14" s="63"/>
      <c r="O14" s="63">
        <v>12</v>
      </c>
      <c r="P14" s="63">
        <f t="shared" si="8"/>
        <v>4.3406276662335999E-2</v>
      </c>
      <c r="Q14" s="63">
        <f>M14*SUM(P$3:P14)*B$5</f>
        <v>7932.7909428953644</v>
      </c>
      <c r="R14" s="63">
        <f t="shared" si="1"/>
        <v>133157.31947763322</v>
      </c>
      <c r="S14" s="70">
        <f t="shared" si="2"/>
        <v>6696964116.5065346</v>
      </c>
      <c r="T14" s="70">
        <f t="shared" si="3"/>
        <v>5601256551.9308805</v>
      </c>
      <c r="U14" s="70">
        <f t="shared" si="4"/>
        <v>278520290.00505626</v>
      </c>
      <c r="V14" s="70">
        <f t="shared" si="5"/>
        <v>184320076.15999085</v>
      </c>
      <c r="W14" s="70">
        <f t="shared" ref="W14:W32" si="9">W$12</f>
        <v>919000199.16351306</v>
      </c>
      <c r="X14" s="71">
        <f t="shared" si="7"/>
        <v>608178982.93079615</v>
      </c>
    </row>
    <row r="15" spans="1:24" x14ac:dyDescent="0.2">
      <c r="A15" s="56" t="s">
        <v>8</v>
      </c>
      <c r="B15" s="96">
        <v>0.98</v>
      </c>
      <c r="H15" s="56" t="s">
        <v>178</v>
      </c>
      <c r="I15" s="45" t="s">
        <v>32</v>
      </c>
      <c r="J15" s="25">
        <f>J9-J13</f>
        <v>11517642246.654865</v>
      </c>
      <c r="K15" s="63"/>
      <c r="L15" s="63">
        <v>13</v>
      </c>
      <c r="M15" s="63">
        <f t="shared" si="0"/>
        <v>36145.852954741451</v>
      </c>
      <c r="N15" s="63"/>
      <c r="O15" s="63">
        <v>13</v>
      </c>
      <c r="P15" s="63">
        <f t="shared" si="8"/>
        <v>4.2538151129089277E-2</v>
      </c>
      <c r="Q15" s="63">
        <f>M15*SUM(P$3:P15)*B$5</f>
        <v>9013.9934151604502</v>
      </c>
      <c r="R15" s="63">
        <f t="shared" si="1"/>
        <v>151306.04217255674</v>
      </c>
      <c r="S15" s="70">
        <f t="shared" si="2"/>
        <v>7609729146.0605145</v>
      </c>
      <c r="T15" s="70">
        <f t="shared" si="3"/>
        <v>6270622405.7101574</v>
      </c>
      <c r="U15" s="70">
        <f t="shared" si="4"/>
        <v>316481308.80628341</v>
      </c>
      <c r="V15" s="70">
        <f t="shared" si="5"/>
        <v>202359463.1774711</v>
      </c>
      <c r="W15" s="70">
        <f t="shared" si="9"/>
        <v>919000199.16351306</v>
      </c>
      <c r="X15" s="71">
        <f t="shared" si="7"/>
        <v>587612543.89448893</v>
      </c>
    </row>
    <row r="16" spans="1:24" ht="16" thickBot="1" x14ac:dyDescent="0.25">
      <c r="A16" s="56" t="s">
        <v>181</v>
      </c>
      <c r="B16" s="97">
        <f>B58</f>
        <v>35110</v>
      </c>
      <c r="C16" s="68"/>
      <c r="D16" s="68"/>
      <c r="E16" s="68"/>
      <c r="F16" s="68"/>
      <c r="G16" s="68"/>
      <c r="H16" s="76"/>
      <c r="I16" s="46" t="s">
        <v>33</v>
      </c>
      <c r="J16" s="26">
        <f>J9/J13</f>
        <v>3.8886950212386724</v>
      </c>
      <c r="K16" s="63"/>
      <c r="L16" s="63">
        <v>14</v>
      </c>
      <c r="M16" s="63">
        <f t="shared" si="0"/>
        <v>36868.770013836285</v>
      </c>
      <c r="N16" s="63"/>
      <c r="O16" s="63">
        <v>14</v>
      </c>
      <c r="P16" s="63">
        <f t="shared" si="8"/>
        <v>4.1687388106507489E-2</v>
      </c>
      <c r="Q16" s="63">
        <f>M16*SUM(P$3:P16)*B$5</f>
        <v>10116.450918209475</v>
      </c>
      <c r="R16" s="63">
        <f t="shared" si="1"/>
        <v>169811.54509085661</v>
      </c>
      <c r="S16" s="70">
        <f t="shared" si="2"/>
        <v>8540437945.9066849</v>
      </c>
      <c r="T16" s="70">
        <f t="shared" si="3"/>
        <v>6933548375.7766581</v>
      </c>
      <c r="U16" s="70">
        <f t="shared" si="4"/>
        <v>355188591.73833466</v>
      </c>
      <c r="V16" s="70">
        <f t="shared" si="5"/>
        <v>219429044.0899587</v>
      </c>
      <c r="W16" s="70">
        <f t="shared" si="9"/>
        <v>919000199.16351306</v>
      </c>
      <c r="X16" s="71">
        <f t="shared" si="7"/>
        <v>567741588.30385411</v>
      </c>
    </row>
    <row r="17" spans="1:24" ht="16" thickBot="1" x14ac:dyDescent="0.25">
      <c r="A17" s="56" t="s">
        <v>10</v>
      </c>
      <c r="B17" s="96">
        <f>1/1.015</f>
        <v>0.98522167487684742</v>
      </c>
      <c r="I17" s="74"/>
      <c r="J17" s="27"/>
      <c r="K17" s="63"/>
      <c r="L17" s="63">
        <v>15</v>
      </c>
      <c r="M17" s="63">
        <f t="shared" si="0"/>
        <v>37606.145414112994</v>
      </c>
      <c r="N17" s="63"/>
      <c r="O17" s="63">
        <v>15</v>
      </c>
      <c r="P17" s="63">
        <f t="shared" si="8"/>
        <v>4.0853640344377336E-2</v>
      </c>
      <c r="Q17" s="63">
        <f>M17*SUM(P$3:P17)*B$5</f>
        <v>11240.588700265578</v>
      </c>
      <c r="R17" s="63">
        <f t="shared" si="1"/>
        <v>188680.96631469246</v>
      </c>
      <c r="S17" s="70">
        <f t="shared" si="2"/>
        <v>9489449516.0630054</v>
      </c>
      <c r="T17" s="70">
        <f t="shared" si="3"/>
        <v>7590150476.1886816</v>
      </c>
      <c r="U17" s="70">
        <f t="shared" si="4"/>
        <v>394657069.26632446</v>
      </c>
      <c r="V17" s="70">
        <f t="shared" si="5"/>
        <v>235567102.21902886</v>
      </c>
      <c r="W17" s="70">
        <f t="shared" si="9"/>
        <v>919000199.16351306</v>
      </c>
      <c r="X17" s="71">
        <f t="shared" si="7"/>
        <v>548542597.39502823</v>
      </c>
    </row>
    <row r="18" spans="1:24" x14ac:dyDescent="0.2">
      <c r="A18" s="56" t="s">
        <v>11</v>
      </c>
      <c r="B18" s="96">
        <f>1/1.035</f>
        <v>0.96618357487922713</v>
      </c>
      <c r="C18" s="68"/>
      <c r="I18" s="62" t="s">
        <v>43</v>
      </c>
      <c r="J18" s="21">
        <v>30</v>
      </c>
      <c r="K18" s="63"/>
      <c r="L18" s="63">
        <v>16</v>
      </c>
      <c r="M18" s="63">
        <f t="shared" si="0"/>
        <v>38358.268322395263</v>
      </c>
      <c r="N18" s="63"/>
      <c r="O18" s="63">
        <v>16</v>
      </c>
      <c r="P18" s="63">
        <f t="shared" si="8"/>
        <v>4.0036567537489791E-2</v>
      </c>
      <c r="Q18" s="63">
        <f>M18*SUM(P$3:P18)*B$5</f>
        <v>12386.84051445733</v>
      </c>
      <c r="R18" s="63">
        <f t="shared" si="1"/>
        <v>207921.58668687625</v>
      </c>
      <c r="S18" s="70">
        <f t="shared" si="2"/>
        <v>10457130036.497959</v>
      </c>
      <c r="T18" s="70">
        <f t="shared" si="3"/>
        <v>8240543050.9659986</v>
      </c>
      <c r="U18" s="70">
        <f t="shared" si="4"/>
        <v>434901970.46259683</v>
      </c>
      <c r="V18" s="70">
        <f t="shared" si="5"/>
        <v>250810537.38218942</v>
      </c>
      <c r="W18" s="70">
        <f t="shared" si="9"/>
        <v>919000199.16351306</v>
      </c>
      <c r="X18" s="71">
        <f t="shared" si="7"/>
        <v>529992847.72466499</v>
      </c>
    </row>
    <row r="19" spans="1:24" x14ac:dyDescent="0.2">
      <c r="A19" s="56" t="s">
        <v>172</v>
      </c>
      <c r="B19" s="98">
        <f>D44</f>
        <v>16.785683681339087</v>
      </c>
      <c r="C19" s="68"/>
      <c r="I19" s="69" t="s">
        <v>12</v>
      </c>
      <c r="J19" s="22"/>
      <c r="K19" s="63"/>
      <c r="L19" s="63">
        <v>17</v>
      </c>
      <c r="M19" s="63">
        <f t="shared" si="0"/>
        <v>39125.433688843172</v>
      </c>
      <c r="N19" s="63"/>
      <c r="O19" s="63">
        <v>17</v>
      </c>
      <c r="P19" s="63">
        <f t="shared" si="8"/>
        <v>3.9235836186739995E-2</v>
      </c>
      <c r="Q19" s="63">
        <f>M19*SUM(P$3:P19)*B$5</f>
        <v>13555.648788916842</v>
      </c>
      <c r="R19" s="63">
        <f t="shared" si="1"/>
        <v>227540.83266608539</v>
      </c>
      <c r="S19" s="70">
        <f t="shared" si="2"/>
        <v>11443853010.729567</v>
      </c>
      <c r="T19" s="70">
        <f t="shared" si="3"/>
        <v>8884838799.8725777</v>
      </c>
      <c r="U19" s="70">
        <f t="shared" si="4"/>
        <v>475938828.97887033</v>
      </c>
      <c r="V19" s="70">
        <f t="shared" si="5"/>
        <v>265194914.28669342</v>
      </c>
      <c r="W19" s="70">
        <f t="shared" si="9"/>
        <v>919000199.16351306</v>
      </c>
      <c r="X19" s="71">
        <f t="shared" si="7"/>
        <v>512070384.27503866</v>
      </c>
    </row>
    <row r="20" spans="1:24" x14ac:dyDescent="0.2">
      <c r="A20" s="56" t="s">
        <v>25</v>
      </c>
      <c r="B20" s="96">
        <v>37.700000000000003</v>
      </c>
      <c r="I20" s="69" t="s">
        <v>13</v>
      </c>
      <c r="J20" s="43" t="s">
        <v>1</v>
      </c>
      <c r="K20" s="63"/>
      <c r="L20" s="63">
        <v>18</v>
      </c>
      <c r="M20" s="63">
        <f t="shared" si="0"/>
        <v>39907.94236262003</v>
      </c>
      <c r="N20" s="63"/>
      <c r="O20" s="63">
        <v>18</v>
      </c>
      <c r="P20" s="63">
        <f t="shared" si="8"/>
        <v>3.8451119463005196E-2</v>
      </c>
      <c r="Q20" s="63">
        <f>M20*SUM(P$3:P20)*B$5</f>
        <v>14747.464800279875</v>
      </c>
      <c r="R20" s="63">
        <f t="shared" si="1"/>
        <v>247546.2792391805</v>
      </c>
      <c r="S20" s="70">
        <f t="shared" si="2"/>
        <v>12449999412.296406</v>
      </c>
      <c r="T20" s="70">
        <f t="shared" si="3"/>
        <v>9523148803.8103065</v>
      </c>
      <c r="U20" s="70">
        <f t="shared" si="4"/>
        <v>517783489.13782638</v>
      </c>
      <c r="V20" s="70">
        <f t="shared" si="5"/>
        <v>278754509.25257897</v>
      </c>
      <c r="W20" s="70">
        <f t="shared" si="9"/>
        <v>919000199.16351306</v>
      </c>
      <c r="X20" s="71">
        <f t="shared" si="7"/>
        <v>494753994.46863639</v>
      </c>
    </row>
    <row r="21" spans="1:24" x14ac:dyDescent="0.2">
      <c r="A21" s="56" t="s">
        <v>48</v>
      </c>
      <c r="B21" s="96">
        <v>141000</v>
      </c>
      <c r="I21" s="73" t="s">
        <v>22</v>
      </c>
      <c r="J21" s="23">
        <f>SUM(Q3:Q32)</f>
        <v>384912.49001803144</v>
      </c>
      <c r="K21" s="63"/>
      <c r="L21" s="63">
        <v>19</v>
      </c>
      <c r="M21" s="63">
        <f t="shared" si="0"/>
        <v>40706.101209872431</v>
      </c>
      <c r="N21" s="63"/>
      <c r="O21" s="63">
        <v>19</v>
      </c>
      <c r="P21" s="63">
        <f t="shared" si="8"/>
        <v>3.7682097073745091E-2</v>
      </c>
      <c r="Q21" s="63">
        <f>M21*SUM(P$3:P21)*B$5</f>
        <v>15962.748850655937</v>
      </c>
      <c r="R21" s="63">
        <f t="shared" si="1"/>
        <v>267945.6528917696</v>
      </c>
      <c r="S21" s="70">
        <f t="shared" si="2"/>
        <v>13475957834.158039</v>
      </c>
      <c r="T21" s="70">
        <f t="shared" si="3"/>
        <v>10155582549.829643</v>
      </c>
      <c r="U21" s="70">
        <f t="shared" si="4"/>
        <v>560452112.14652991</v>
      </c>
      <c r="V21" s="70">
        <f t="shared" si="5"/>
        <v>291522355.32230675</v>
      </c>
      <c r="W21" s="70">
        <f t="shared" si="9"/>
        <v>919000199.16351306</v>
      </c>
      <c r="X21" s="71">
        <f t="shared" si="7"/>
        <v>478023183.06148452</v>
      </c>
    </row>
    <row r="22" spans="1:24" x14ac:dyDescent="0.2">
      <c r="A22" s="56" t="s">
        <v>50</v>
      </c>
      <c r="B22" s="96">
        <f>B21*B12</f>
        <v>102930</v>
      </c>
      <c r="I22" s="73" t="s">
        <v>23</v>
      </c>
      <c r="J22" s="22">
        <f>J21*B$19</f>
        <v>6461019.302439265</v>
      </c>
      <c r="L22" s="63">
        <v>20</v>
      </c>
      <c r="M22" s="63">
        <f t="shared" si="0"/>
        <v>41520.223234069883</v>
      </c>
      <c r="N22" s="63"/>
      <c r="O22" s="63">
        <v>20</v>
      </c>
      <c r="P22" s="63">
        <f t="shared" si="8"/>
        <v>3.6928455132270187E-2</v>
      </c>
      <c r="Q22" s="63">
        <f>M22*SUM(P$3:P22)*B$5</f>
        <v>17201.97044813777</v>
      </c>
      <c r="R22" s="63">
        <f t="shared" si="1"/>
        <v>288746.83463818341</v>
      </c>
      <c r="S22" s="70">
        <f t="shared" si="2"/>
        <v>14522124641.083464</v>
      </c>
      <c r="T22" s="70">
        <f t="shared" si="3"/>
        <v>10782247955.762995</v>
      </c>
      <c r="U22" s="70">
        <f t="shared" si="4"/>
        <v>603961182.43411708</v>
      </c>
      <c r="V22" s="70">
        <f t="shared" si="5"/>
        <v>303530285.81239957</v>
      </c>
      <c r="W22" s="70">
        <f t="shared" si="9"/>
        <v>919000199.16351306</v>
      </c>
      <c r="X22" s="71">
        <f t="shared" si="7"/>
        <v>461858147.88549227</v>
      </c>
    </row>
    <row r="23" spans="1:24" x14ac:dyDescent="0.2">
      <c r="A23" s="56" t="s">
        <v>49</v>
      </c>
      <c r="B23" s="96">
        <f>B7-B22</f>
        <v>824170</v>
      </c>
      <c r="I23" s="73" t="s">
        <v>37</v>
      </c>
      <c r="J23" s="22">
        <f>SUM(T3:T32)</f>
        <v>234976562528.85013</v>
      </c>
      <c r="K23" s="63"/>
      <c r="L23" s="63">
        <v>21</v>
      </c>
      <c r="M23" s="63">
        <f t="shared" si="0"/>
        <v>42350.627698751276</v>
      </c>
      <c r="N23" s="63"/>
      <c r="O23" s="63">
        <v>21</v>
      </c>
      <c r="P23" s="63">
        <f t="shared" si="8"/>
        <v>3.6189886029624779E-2</v>
      </c>
      <c r="Q23" s="63">
        <f>M23*SUM(P$3:P23)*B$5</f>
        <v>18465.608490921051</v>
      </c>
      <c r="R23" s="63">
        <f t="shared" si="1"/>
        <v>309957.86311204999</v>
      </c>
      <c r="S23" s="70">
        <f t="shared" si="2"/>
        <v>15588904125.087294</v>
      </c>
      <c r="T23" s="70">
        <f t="shared" si="3"/>
        <v>11403251394.486559</v>
      </c>
      <c r="U23" s="70">
        <f t="shared" si="4"/>
        <v>648327514.11623812</v>
      </c>
      <c r="V23" s="70">
        <f t="shared" si="5"/>
        <v>314808976.36059284</v>
      </c>
      <c r="W23" s="70">
        <f t="shared" si="9"/>
        <v>919000199.16351306</v>
      </c>
      <c r="X23" s="71">
        <f t="shared" si="7"/>
        <v>446239756.41110367</v>
      </c>
    </row>
    <row r="24" spans="1:24" x14ac:dyDescent="0.2">
      <c r="A24" s="56" t="s">
        <v>51</v>
      </c>
      <c r="B24" s="96">
        <v>0.25</v>
      </c>
      <c r="I24" s="73" t="s">
        <v>41</v>
      </c>
      <c r="J24" s="22">
        <f>SUM(V3:V32)</f>
        <v>6475553816.8846254</v>
      </c>
      <c r="K24" s="63"/>
      <c r="L24" s="63">
        <v>22</v>
      </c>
      <c r="M24" s="63">
        <f t="shared" si="0"/>
        <v>43197.640252726305</v>
      </c>
      <c r="N24" s="63"/>
      <c r="O24" s="63">
        <v>22</v>
      </c>
      <c r="P24" s="63">
        <f t="shared" si="8"/>
        <v>3.5466088309032286E-2</v>
      </c>
      <c r="Q24" s="63">
        <f>M24*SUM(P$3:P24)*B$5</f>
        <v>19754.151455106476</v>
      </c>
      <c r="R24" s="63">
        <f t="shared" si="1"/>
        <v>331586.93771868153</v>
      </c>
      <c r="S24" s="70">
        <f t="shared" si="2"/>
        <v>16676708663.974731</v>
      </c>
      <c r="T24" s="70">
        <f t="shared" si="3"/>
        <v>12018697717.816338</v>
      </c>
      <c r="U24" s="70">
        <f t="shared" si="4"/>
        <v>693568257.58878839</v>
      </c>
      <c r="V24" s="70">
        <f t="shared" si="5"/>
        <v>325387985.52016819</v>
      </c>
      <c r="W24" s="70">
        <f t="shared" si="9"/>
        <v>919000199.16351306</v>
      </c>
      <c r="X24" s="71">
        <f t="shared" si="7"/>
        <v>431149523.1025157</v>
      </c>
    </row>
    <row r="25" spans="1:24" x14ac:dyDescent="0.2">
      <c r="A25" s="56" t="s">
        <v>92</v>
      </c>
      <c r="B25" s="111">
        <f>B19*B8</f>
        <v>844212.85833888757</v>
      </c>
      <c r="I25" s="73" t="s">
        <v>39</v>
      </c>
      <c r="J25" s="22">
        <f>J23+J24</f>
        <v>241452116345.73474</v>
      </c>
      <c r="K25" s="63"/>
      <c r="L25" s="63">
        <v>23</v>
      </c>
      <c r="M25" s="63">
        <f t="shared" si="0"/>
        <v>44061.593057780825</v>
      </c>
      <c r="N25" s="63"/>
      <c r="O25" s="63">
        <v>23</v>
      </c>
      <c r="P25" s="63">
        <f t="shared" si="8"/>
        <v>3.475676654285164E-2</v>
      </c>
      <c r="Q25" s="63">
        <f>M25*SUM(P$3:P25)*B$5</f>
        <v>21068.097586257856</v>
      </c>
      <c r="R25" s="63">
        <f t="shared" si="1"/>
        <v>353642.4218505079</v>
      </c>
      <c r="S25" s="70">
        <f t="shared" si="2"/>
        <v>17785958883.057362</v>
      </c>
      <c r="T25" s="70">
        <f t="shared" si="3"/>
        <v>12628690280.043737</v>
      </c>
      <c r="U25" s="70">
        <f t="shared" si="4"/>
        <v>739700906.25351334</v>
      </c>
      <c r="V25" s="70">
        <f t="shared" si="5"/>
        <v>335295793.95137399</v>
      </c>
      <c r="W25" s="70">
        <f t="shared" si="9"/>
        <v>919000199.16351306</v>
      </c>
      <c r="X25" s="71">
        <f t="shared" si="7"/>
        <v>416569587.53866255</v>
      </c>
    </row>
    <row r="26" spans="1:24" x14ac:dyDescent="0.2">
      <c r="A26" s="56" t="s">
        <v>93</v>
      </c>
      <c r="B26" s="95">
        <f>B25*B6</f>
        <v>23588928134.447517</v>
      </c>
      <c r="I26" s="74"/>
      <c r="J26" s="24"/>
      <c r="K26" s="63"/>
      <c r="L26" s="63">
        <v>24</v>
      </c>
      <c r="M26" s="63">
        <f t="shared" si="0"/>
        <v>44942.824918936443</v>
      </c>
      <c r="N26" s="63"/>
      <c r="O26" s="63">
        <v>24</v>
      </c>
      <c r="P26" s="63">
        <f t="shared" si="8"/>
        <v>3.4061631211994604E-2</v>
      </c>
      <c r="Q26" s="63">
        <f>M26*SUM(P$3:P26)*B$5</f>
        <v>22407.955094791443</v>
      </c>
      <c r="R26" s="63">
        <f t="shared" si="1"/>
        <v>376132.8461668198</v>
      </c>
      <c r="S26" s="70">
        <f t="shared" si="2"/>
        <v>18917083820.103325</v>
      </c>
      <c r="T26" s="70">
        <f t="shared" si="3"/>
        <v>13233330961.116438</v>
      </c>
      <c r="U26" s="70">
        <f t="shared" si="4"/>
        <v>786743303.37812757</v>
      </c>
      <c r="V26" s="70">
        <f t="shared" si="5"/>
        <v>344559842.25812721</v>
      </c>
      <c r="W26" s="70">
        <f t="shared" si="9"/>
        <v>919000199.16351306</v>
      </c>
      <c r="X26" s="71">
        <f t="shared" si="7"/>
        <v>402482693.27407002</v>
      </c>
    </row>
    <row r="27" spans="1:24" x14ac:dyDescent="0.2">
      <c r="I27" s="69" t="s">
        <v>29</v>
      </c>
      <c r="J27" s="22"/>
      <c r="K27" s="63"/>
      <c r="L27" s="63">
        <v>25</v>
      </c>
      <c r="M27" s="63">
        <f t="shared" si="0"/>
        <v>45841.681417315172</v>
      </c>
      <c r="N27" s="63"/>
      <c r="O27" s="63">
        <v>25</v>
      </c>
      <c r="P27" s="63">
        <f t="shared" si="8"/>
        <v>3.3380398587754712E-2</v>
      </c>
      <c r="Q27" s="63">
        <f>M27*SUM(P$3:P27)*B$5</f>
        <v>23774.242355272985</v>
      </c>
      <c r="R27" s="63">
        <f t="shared" si="1"/>
        <v>399066.9119391063</v>
      </c>
      <c r="S27" s="70">
        <f t="shared" si="2"/>
        <v>20070521093.586452</v>
      </c>
      <c r="T27" s="70">
        <f t="shared" si="3"/>
        <v>13832720189.469742</v>
      </c>
      <c r="U27" s="70">
        <f t="shared" si="4"/>
        <v>834713649.09363449</v>
      </c>
      <c r="V27" s="70">
        <f t="shared" si="5"/>
        <v>353206567.51653725</v>
      </c>
      <c r="W27" s="70">
        <f t="shared" si="9"/>
        <v>919000199.16351306</v>
      </c>
      <c r="X27" s="71">
        <f t="shared" si="7"/>
        <v>388872167.4145605</v>
      </c>
    </row>
    <row r="28" spans="1:24" x14ac:dyDescent="0.2">
      <c r="B28" s="56"/>
      <c r="C28" s="56"/>
      <c r="D28" s="56"/>
      <c r="I28" s="69" t="s">
        <v>13</v>
      </c>
      <c r="J28" s="43" t="s">
        <v>1</v>
      </c>
      <c r="K28" s="63"/>
      <c r="L28" s="63">
        <v>26</v>
      </c>
      <c r="M28" s="63">
        <f t="shared" si="0"/>
        <v>46758.515045661479</v>
      </c>
      <c r="N28" s="63"/>
      <c r="O28" s="63">
        <v>26</v>
      </c>
      <c r="P28" s="63">
        <f t="shared" si="8"/>
        <v>3.2712790615999618E-2</v>
      </c>
      <c r="Q28" s="63">
        <f>M28*SUM(P$3:P28)*B$5</f>
        <v>25167.48810970072</v>
      </c>
      <c r="R28" s="63">
        <f t="shared" si="1"/>
        <v>422453.49446329888</v>
      </c>
      <c r="S28" s="70">
        <f t="shared" si="2"/>
        <v>21246717074.300411</v>
      </c>
      <c r="T28" s="70">
        <f t="shared" si="3"/>
        <v>14426956964.513826</v>
      </c>
      <c r="U28" s="70">
        <f t="shared" si="4"/>
        <v>883630507.53159225</v>
      </c>
      <c r="V28" s="70">
        <f t="shared" si="5"/>
        <v>361261438.54019839</v>
      </c>
      <c r="W28" s="70">
        <f t="shared" si="9"/>
        <v>919000199.16351306</v>
      </c>
      <c r="X28" s="71">
        <f t="shared" si="7"/>
        <v>375721900.88363332</v>
      </c>
    </row>
    <row r="29" spans="1:24" x14ac:dyDescent="0.2">
      <c r="B29" s="56"/>
      <c r="C29" s="56"/>
      <c r="D29" s="56"/>
      <c r="I29" s="73" t="s">
        <v>170</v>
      </c>
      <c r="J29" s="22">
        <f>SUM(X3:X32)</f>
        <v>13246475179.92914</v>
      </c>
      <c r="K29" s="63"/>
      <c r="L29" s="63">
        <v>27</v>
      </c>
      <c r="M29" s="63">
        <f t="shared" si="0"/>
        <v>47693.685346574697</v>
      </c>
      <c r="N29" s="63"/>
      <c r="O29" s="63">
        <v>27</v>
      </c>
      <c r="P29" s="63">
        <f t="shared" si="8"/>
        <v>3.2058534803679622E-2</v>
      </c>
      <c r="Q29" s="63">
        <f>M29*SUM(P$3:P29)*B$5</f>
        <v>26588.231674854076</v>
      </c>
      <c r="R29" s="63">
        <f t="shared" si="1"/>
        <v>446301.64654026111</v>
      </c>
      <c r="S29" s="70">
        <f t="shared" si="2"/>
        <v>22446127060.405109</v>
      </c>
      <c r="T29" s="70">
        <f t="shared" si="3"/>
        <v>15016138878.782082</v>
      </c>
      <c r="U29" s="70">
        <f t="shared" si="4"/>
        <v>933512814.10412657</v>
      </c>
      <c r="V29" s="70">
        <f t="shared" si="5"/>
        <v>368748989.92566061</v>
      </c>
      <c r="W29" s="70">
        <f t="shared" si="9"/>
        <v>919000199.16351306</v>
      </c>
      <c r="X29" s="71">
        <f t="shared" si="7"/>
        <v>363016329.3561675</v>
      </c>
    </row>
    <row r="30" spans="1:24" x14ac:dyDescent="0.2">
      <c r="A30" s="3" t="s">
        <v>128</v>
      </c>
      <c r="B30" s="119" t="s">
        <v>117</v>
      </c>
      <c r="C30" s="119" t="s">
        <v>118</v>
      </c>
      <c r="D30" s="119" t="s">
        <v>119</v>
      </c>
      <c r="I30" s="73"/>
      <c r="J30" s="22"/>
      <c r="K30" s="63"/>
      <c r="L30" s="63">
        <v>28</v>
      </c>
      <c r="M30" s="63">
        <f t="shared" si="0"/>
        <v>48647.559053506207</v>
      </c>
      <c r="N30" s="63"/>
      <c r="O30" s="63">
        <v>28</v>
      </c>
      <c r="P30" s="63">
        <f t="shared" si="8"/>
        <v>3.1417364107606031E-2</v>
      </c>
      <c r="Q30" s="63">
        <f>M30*SUM(P$3:P30)*B$5</f>
        <v>28037.023153789323</v>
      </c>
      <c r="R30" s="63">
        <f t="shared" si="1"/>
        <v>470620.60202588758</v>
      </c>
      <c r="S30" s="70">
        <f t="shared" si="2"/>
        <v>23669215455.974056</v>
      </c>
      <c r="T30" s="70">
        <f t="shared" si="3"/>
        <v>15600362139.745726</v>
      </c>
      <c r="U30" s="70">
        <f t="shared" si="4"/>
        <v>984379882.92954314</v>
      </c>
      <c r="V30" s="70">
        <f t="shared" si="5"/>
        <v>375692854.91999501</v>
      </c>
      <c r="W30" s="70">
        <f t="shared" si="9"/>
        <v>919000199.16351306</v>
      </c>
      <c r="X30" s="71">
        <f t="shared" si="7"/>
        <v>350740414.83687687</v>
      </c>
    </row>
    <row r="31" spans="1:24" x14ac:dyDescent="0.2">
      <c r="A31"/>
      <c r="B31" s="122" t="s">
        <v>120</v>
      </c>
      <c r="C31" s="122" t="s">
        <v>120</v>
      </c>
      <c r="D31"/>
      <c r="I31" s="45" t="s">
        <v>32</v>
      </c>
      <c r="J31" s="25">
        <f>J25-J29</f>
        <v>228205641165.8056</v>
      </c>
      <c r="K31" s="63"/>
      <c r="L31" s="63">
        <v>29</v>
      </c>
      <c r="M31" s="63">
        <f t="shared" si="0"/>
        <v>49620.510234576323</v>
      </c>
      <c r="N31" s="63"/>
      <c r="O31" s="63">
        <v>29</v>
      </c>
      <c r="P31" s="63">
        <f t="shared" si="8"/>
        <v>3.0789016825453909E-2</v>
      </c>
      <c r="Q31" s="63">
        <f>M31*SUM(P$3:P31)*B$5</f>
        <v>29514.423651565092</v>
      </c>
      <c r="R31" s="63">
        <f t="shared" si="1"/>
        <v>495419.77945220453</v>
      </c>
      <c r="S31" s="70">
        <f t="shared" si="2"/>
        <v>24916455953.112633</v>
      </c>
      <c r="T31" s="70">
        <f t="shared" si="3"/>
        <v>16179721591.299704</v>
      </c>
      <c r="U31" s="70">
        <f t="shared" si="4"/>
        <v>1036251414.4064504</v>
      </c>
      <c r="V31" s="70">
        <f t="shared" si="5"/>
        <v>382115797.15093684</v>
      </c>
      <c r="W31" s="70">
        <f t="shared" si="9"/>
        <v>919000199.16351306</v>
      </c>
      <c r="X31" s="71">
        <f t="shared" si="7"/>
        <v>338879627.86171675</v>
      </c>
    </row>
    <row r="32" spans="1:24" ht="16" thickBot="1" x14ac:dyDescent="0.25">
      <c r="A32" s="120" t="s">
        <v>121</v>
      </c>
      <c r="B32">
        <v>322</v>
      </c>
      <c r="C32">
        <v>151.9</v>
      </c>
      <c r="D32">
        <f t="shared" ref="D32:D37" si="10">B32+C32</f>
        <v>473.9</v>
      </c>
      <c r="I32" s="48" t="s">
        <v>33</v>
      </c>
      <c r="J32" s="28">
        <f>J25 / J29</f>
        <v>18.227650228913678</v>
      </c>
      <c r="K32" s="77"/>
      <c r="L32" s="77">
        <v>30</v>
      </c>
      <c r="M32" s="77">
        <f t="shared" si="0"/>
        <v>50612.920439267851</v>
      </c>
      <c r="N32" s="77"/>
      <c r="O32" s="77">
        <v>30</v>
      </c>
      <c r="P32" s="77">
        <f t="shared" si="8"/>
        <v>3.0173236488944832E-2</v>
      </c>
      <c r="Q32" s="77">
        <f>M32*SUM(P$3:P32)*B$5</f>
        <v>31021.005495282501</v>
      </c>
      <c r="R32" s="77">
        <f t="shared" si="1"/>
        <v>520708.78572089365</v>
      </c>
      <c r="S32" s="78">
        <f t="shared" si="2"/>
        <v>26188331717.718781</v>
      </c>
      <c r="T32" s="78">
        <f t="shared" si="3"/>
        <v>16754310734.924988</v>
      </c>
      <c r="U32" s="78">
        <f t="shared" si="4"/>
        <v>1089147502.9393687</v>
      </c>
      <c r="V32" s="78">
        <f t="shared" si="5"/>
        <v>388039741.2587046</v>
      </c>
      <c r="W32" s="78">
        <f t="shared" si="9"/>
        <v>919000199.16351306</v>
      </c>
      <c r="X32" s="79">
        <f t="shared" si="7"/>
        <v>327419930.30117565</v>
      </c>
    </row>
    <row r="33" spans="1:24" x14ac:dyDescent="0.2">
      <c r="A33" s="120" t="s">
        <v>122</v>
      </c>
      <c r="B33">
        <v>207.7</v>
      </c>
      <c r="C33">
        <v>108.6</v>
      </c>
      <c r="D33">
        <f t="shared" si="10"/>
        <v>316.29999999999995</v>
      </c>
    </row>
    <row r="34" spans="1:24" ht="16" thickBot="1" x14ac:dyDescent="0.25">
      <c r="A34" s="120" t="s">
        <v>123</v>
      </c>
      <c r="B34">
        <v>141.6</v>
      </c>
      <c r="C34">
        <v>77.3</v>
      </c>
      <c r="D34">
        <f t="shared" si="10"/>
        <v>218.89999999999998</v>
      </c>
      <c r="I34" s="3"/>
    </row>
    <row r="35" spans="1:24" ht="16" thickBot="1" x14ac:dyDescent="0.25">
      <c r="A35" s="120" t="s">
        <v>124</v>
      </c>
      <c r="B35">
        <v>62.9</v>
      </c>
      <c r="C35">
        <v>25.2</v>
      </c>
      <c r="D35">
        <f t="shared" si="10"/>
        <v>88.1</v>
      </c>
      <c r="I35" s="38" t="s">
        <v>34</v>
      </c>
      <c r="J35" s="20"/>
      <c r="K35" s="57"/>
      <c r="L35" s="58" t="s">
        <v>17</v>
      </c>
      <c r="M35" s="59"/>
      <c r="N35" s="57"/>
      <c r="O35" s="58" t="s">
        <v>18</v>
      </c>
      <c r="P35" s="58"/>
      <c r="Q35" s="58"/>
      <c r="R35" s="57"/>
      <c r="S35" s="57"/>
      <c r="T35" s="57"/>
      <c r="U35" s="57"/>
      <c r="V35" s="57"/>
      <c r="W35" s="57"/>
      <c r="X35" s="60"/>
    </row>
    <row r="36" spans="1:24" x14ac:dyDescent="0.2">
      <c r="A36" s="120" t="s">
        <v>125</v>
      </c>
      <c r="B36">
        <v>38.1</v>
      </c>
      <c r="C36">
        <v>14.1</v>
      </c>
      <c r="D36">
        <f t="shared" si="10"/>
        <v>52.2</v>
      </c>
      <c r="I36" s="62" t="s">
        <v>43</v>
      </c>
      <c r="J36" s="21">
        <v>10</v>
      </c>
      <c r="K36" s="63"/>
      <c r="L36" s="64" t="s">
        <v>16</v>
      </c>
      <c r="M36" s="64" t="s">
        <v>53</v>
      </c>
      <c r="N36" s="63"/>
      <c r="O36" s="64" t="s">
        <v>16</v>
      </c>
      <c r="P36" s="65" t="s">
        <v>20</v>
      </c>
      <c r="Q36" s="65" t="s">
        <v>19</v>
      </c>
      <c r="R36" s="65" t="s">
        <v>26</v>
      </c>
      <c r="S36" s="65" t="s">
        <v>27</v>
      </c>
      <c r="T36" s="65" t="s">
        <v>28</v>
      </c>
      <c r="U36" s="65" t="s">
        <v>38</v>
      </c>
      <c r="V36" s="65" t="s">
        <v>40</v>
      </c>
      <c r="W36" s="66" t="s">
        <v>30</v>
      </c>
      <c r="X36" s="67" t="s">
        <v>31</v>
      </c>
    </row>
    <row r="37" spans="1:24" x14ac:dyDescent="0.2">
      <c r="A37" s="120" t="s">
        <v>126</v>
      </c>
      <c r="B37">
        <v>18.399999999999999</v>
      </c>
      <c r="C37">
        <v>7.5</v>
      </c>
      <c r="D37">
        <f t="shared" si="10"/>
        <v>25.9</v>
      </c>
      <c r="I37" s="69" t="s">
        <v>12</v>
      </c>
      <c r="J37" s="22"/>
      <c r="K37" s="63"/>
      <c r="L37" s="63">
        <v>1</v>
      </c>
      <c r="M37" s="63">
        <f>($B$23*($B$10^L37)*(1-$B$24))+($B$22*($B$10^L37))</f>
        <v>735478.65</v>
      </c>
      <c r="N37" s="63"/>
      <c r="O37" s="63">
        <v>1</v>
      </c>
      <c r="P37" s="63">
        <v>0</v>
      </c>
      <c r="Q37" s="63">
        <f>M37*SUM(P$37:P37)*B$5</f>
        <v>0</v>
      </c>
      <c r="R37" s="63">
        <f t="shared" ref="R37:R66" si="11">B$20*Q37</f>
        <v>0</v>
      </c>
      <c r="S37" s="70">
        <f t="shared" ref="S37:S66" si="12">R37*B$9</f>
        <v>0</v>
      </c>
      <c r="T37" s="70">
        <f t="shared" ref="T37:T66" si="13">S37*(B$17^O37)</f>
        <v>0</v>
      </c>
      <c r="U37" s="70">
        <f t="shared" ref="U37:U66" si="14">B$16*Q37</f>
        <v>0</v>
      </c>
      <c r="V37" s="70">
        <f t="shared" ref="V37:V66" si="15">U37*(B$18^O37)</f>
        <v>0</v>
      </c>
      <c r="W37" s="70">
        <f>B$5*O37*(B$3/10)</f>
        <v>270000000</v>
      </c>
      <c r="X37" s="71">
        <f t="shared" ref="X37:X66" si="16">W37*(B$18^O37)</f>
        <v>260869565.21739131</v>
      </c>
    </row>
    <row r="38" spans="1:24" x14ac:dyDescent="0.2">
      <c r="A38" s="120"/>
      <c r="B38"/>
      <c r="C38"/>
      <c r="D38"/>
      <c r="I38" s="69" t="s">
        <v>13</v>
      </c>
      <c r="J38" s="43" t="s">
        <v>1</v>
      </c>
      <c r="K38" s="63"/>
      <c r="L38" s="63">
        <v>2</v>
      </c>
      <c r="M38" s="63">
        <f t="shared" ref="M38:M66" si="17">($B$23*($B$10^L38)*(1-$B$24))+($B$22*($B$10^L38))</f>
        <v>750188.223</v>
      </c>
      <c r="N38" s="63"/>
      <c r="O38" s="63">
        <v>2</v>
      </c>
      <c r="P38" s="63">
        <v>0</v>
      </c>
      <c r="Q38" s="63">
        <f>M38*SUM(P$37:P38)*B$5</f>
        <v>0</v>
      </c>
      <c r="R38" s="63">
        <f t="shared" si="11"/>
        <v>0</v>
      </c>
      <c r="S38" s="70">
        <f t="shared" si="12"/>
        <v>0</v>
      </c>
      <c r="T38" s="70">
        <f t="shared" si="13"/>
        <v>0</v>
      </c>
      <c r="U38" s="70">
        <f t="shared" si="14"/>
        <v>0</v>
      </c>
      <c r="V38" s="70">
        <f t="shared" si="15"/>
        <v>0</v>
      </c>
      <c r="W38" s="70">
        <f t="shared" ref="W38:W45" si="18">B$5*O38*(B$3/10)</f>
        <v>540000000</v>
      </c>
      <c r="X38" s="71">
        <f t="shared" si="16"/>
        <v>504095778.19785762</v>
      </c>
    </row>
    <row r="39" spans="1:24" x14ac:dyDescent="0.2">
      <c r="A39" s="120" t="s">
        <v>88</v>
      </c>
      <c r="B39">
        <f>SUM(B32:B37)</f>
        <v>790.7</v>
      </c>
      <c r="C39">
        <f>SUM(C32:C37)</f>
        <v>384.6</v>
      </c>
      <c r="D39">
        <f>B39+C39</f>
        <v>1175.3000000000002</v>
      </c>
      <c r="I39" s="73" t="s">
        <v>22</v>
      </c>
      <c r="J39" s="23">
        <f>SUM(Q37:Q46)</f>
        <v>518262.24563889764</v>
      </c>
      <c r="K39" s="63"/>
      <c r="L39" s="63">
        <v>3</v>
      </c>
      <c r="M39" s="63">
        <f t="shared" si="17"/>
        <v>765191.98745999997</v>
      </c>
      <c r="N39" s="63"/>
      <c r="O39" s="63">
        <v>3</v>
      </c>
      <c r="P39" s="63">
        <v>0</v>
      </c>
      <c r="Q39" s="63">
        <f>M39*SUM(P$37:P39)*B$5</f>
        <v>0</v>
      </c>
      <c r="R39" s="63">
        <f t="shared" si="11"/>
        <v>0</v>
      </c>
      <c r="S39" s="70">
        <f t="shared" si="12"/>
        <v>0</v>
      </c>
      <c r="T39" s="70">
        <f t="shared" si="13"/>
        <v>0</v>
      </c>
      <c r="U39" s="70">
        <f t="shared" si="14"/>
        <v>0</v>
      </c>
      <c r="V39" s="70">
        <f t="shared" si="15"/>
        <v>0</v>
      </c>
      <c r="W39" s="70">
        <f t="shared" si="18"/>
        <v>809999999.99999988</v>
      </c>
      <c r="X39" s="71">
        <f t="shared" si="16"/>
        <v>730573591.59109807</v>
      </c>
    </row>
    <row r="40" spans="1:24" x14ac:dyDescent="0.2">
      <c r="A40" s="120"/>
      <c r="B40"/>
      <c r="C40"/>
      <c r="D40"/>
      <c r="E40" s="81"/>
      <c r="F40" s="81"/>
      <c r="G40" s="81"/>
      <c r="I40" s="73" t="s">
        <v>23</v>
      </c>
      <c r="J40" s="22">
        <f>J39*B$20</f>
        <v>19538486.660586443</v>
      </c>
      <c r="K40" s="63"/>
      <c r="L40" s="63">
        <v>4</v>
      </c>
      <c r="M40" s="63">
        <f t="shared" si="17"/>
        <v>780495.82720920001</v>
      </c>
      <c r="N40" s="63"/>
      <c r="O40" s="63">
        <v>4</v>
      </c>
      <c r="P40" s="63">
        <v>0</v>
      </c>
      <c r="Q40" s="63">
        <f>M40*SUM(P$37:P40)*B$5</f>
        <v>0</v>
      </c>
      <c r="R40" s="63">
        <f t="shared" si="11"/>
        <v>0</v>
      </c>
      <c r="S40" s="70">
        <f t="shared" si="12"/>
        <v>0</v>
      </c>
      <c r="T40" s="70">
        <f t="shared" si="13"/>
        <v>0</v>
      </c>
      <c r="U40" s="70">
        <f t="shared" si="14"/>
        <v>0</v>
      </c>
      <c r="V40" s="70">
        <f t="shared" si="15"/>
        <v>0</v>
      </c>
      <c r="W40" s="70">
        <f t="shared" si="18"/>
        <v>1080000000</v>
      </c>
      <c r="X40" s="71">
        <f t="shared" si="16"/>
        <v>941157605.91445816</v>
      </c>
    </row>
    <row r="41" spans="1:24" x14ac:dyDescent="0.2">
      <c r="A41" s="120"/>
      <c r="B41"/>
      <c r="C41"/>
      <c r="D41"/>
      <c r="E41" s="81"/>
      <c r="F41" s="81"/>
      <c r="G41" s="81"/>
      <c r="I41" s="73" t="s">
        <v>37</v>
      </c>
      <c r="J41" s="22">
        <f>SUM(T37:T46)</f>
        <v>310631544590.51147</v>
      </c>
      <c r="K41" s="63"/>
      <c r="L41" s="63">
        <v>5</v>
      </c>
      <c r="M41" s="63">
        <f t="shared" si="17"/>
        <v>796105.74375338398</v>
      </c>
      <c r="N41" s="63"/>
      <c r="O41" s="63">
        <v>5</v>
      </c>
      <c r="P41" s="63">
        <f>B$14</f>
        <v>0.05</v>
      </c>
      <c r="Q41" s="63">
        <f>M41*SUM(P$37:P41)*B$5</f>
        <v>23883.17231260152</v>
      </c>
      <c r="R41" s="63">
        <f t="shared" si="11"/>
        <v>900395.59618507733</v>
      </c>
      <c r="S41" s="70">
        <f t="shared" si="12"/>
        <v>16207120731.331392</v>
      </c>
      <c r="T41" s="70">
        <f t="shared" si="13"/>
        <v>15044427163.95417</v>
      </c>
      <c r="U41" s="70">
        <f t="shared" si="14"/>
        <v>838538179.89543939</v>
      </c>
      <c r="V41" s="70">
        <f t="shared" si="15"/>
        <v>706026646.85834587</v>
      </c>
      <c r="W41" s="70">
        <f t="shared" si="18"/>
        <v>1350000000</v>
      </c>
      <c r="X41" s="71">
        <f t="shared" si="16"/>
        <v>1136663775.2590075</v>
      </c>
    </row>
    <row r="42" spans="1:24" x14ac:dyDescent="0.2">
      <c r="A42" s="120" t="s">
        <v>68</v>
      </c>
      <c r="B42">
        <v>51.061</v>
      </c>
      <c r="C42">
        <v>18.957000000000001</v>
      </c>
      <c r="D42">
        <f>B42+C42</f>
        <v>70.018000000000001</v>
      </c>
      <c r="E42" s="81"/>
      <c r="F42" s="81"/>
      <c r="G42" s="81"/>
      <c r="I42" s="83" t="s">
        <v>41</v>
      </c>
      <c r="J42" s="30">
        <f>SUM(V37:V46)</f>
        <v>13668607007.971354</v>
      </c>
      <c r="K42" s="63"/>
      <c r="L42" s="63">
        <v>6</v>
      </c>
      <c r="M42" s="63">
        <f t="shared" si="17"/>
        <v>812027.85862845182</v>
      </c>
      <c r="N42" s="63"/>
      <c r="O42" s="63">
        <v>6</v>
      </c>
      <c r="P42" s="63">
        <f t="shared" ref="P42:P64" si="19">P41*$B$15</f>
        <v>4.9000000000000002E-2</v>
      </c>
      <c r="Q42" s="63">
        <f>M42*SUM(P$37:P42)*B$5</f>
        <v>48234.454802530039</v>
      </c>
      <c r="R42" s="63">
        <f t="shared" si="11"/>
        <v>1818438.9460553827</v>
      </c>
      <c r="S42" s="70">
        <f t="shared" si="12"/>
        <v>32731901028.996887</v>
      </c>
      <c r="T42" s="70">
        <f t="shared" si="13"/>
        <v>29934704532.336803</v>
      </c>
      <c r="U42" s="70">
        <f t="shared" si="14"/>
        <v>1693511708.1168296</v>
      </c>
      <c r="V42" s="70">
        <f t="shared" si="15"/>
        <v>1377672865.6957638</v>
      </c>
      <c r="W42" s="70">
        <f t="shared" si="18"/>
        <v>1619999999.9999998</v>
      </c>
      <c r="X42" s="71">
        <f t="shared" si="16"/>
        <v>1317871043.7785594</v>
      </c>
    </row>
    <row r="43" spans="1:24" x14ac:dyDescent="0.2">
      <c r="A43" s="120"/>
      <c r="B43"/>
      <c r="C43"/>
      <c r="D43"/>
      <c r="E43" s="81"/>
      <c r="F43" s="81"/>
      <c r="G43" s="81"/>
      <c r="I43" s="73" t="s">
        <v>39</v>
      </c>
      <c r="J43" s="22">
        <f>J41</f>
        <v>310631544590.51147</v>
      </c>
      <c r="K43" s="63"/>
      <c r="L43" s="63">
        <v>7</v>
      </c>
      <c r="M43" s="63">
        <f t="shared" si="17"/>
        <v>828268.41580102069</v>
      </c>
      <c r="N43" s="63"/>
      <c r="O43" s="63">
        <v>7</v>
      </c>
      <c r="P43" s="63">
        <f t="shared" si="19"/>
        <v>4.802E-2</v>
      </c>
      <c r="Q43" s="63">
        <f>M43*SUM(P$37:P43)*B$5</f>
        <v>73063.21349463964</v>
      </c>
      <c r="R43" s="63">
        <f t="shared" si="11"/>
        <v>2754483.1487479145</v>
      </c>
      <c r="S43" s="70">
        <f t="shared" si="12"/>
        <v>49580696677.462463</v>
      </c>
      <c r="T43" s="70">
        <f t="shared" si="13"/>
        <v>44673536005.881866</v>
      </c>
      <c r="U43" s="70">
        <f t="shared" si="14"/>
        <v>2565249425.7967978</v>
      </c>
      <c r="V43" s="70">
        <f t="shared" si="15"/>
        <v>2016262860.5756407</v>
      </c>
      <c r="W43" s="70">
        <f t="shared" si="18"/>
        <v>1890000000</v>
      </c>
      <c r="X43" s="71">
        <f t="shared" si="16"/>
        <v>1485522915.6924183</v>
      </c>
    </row>
    <row r="44" spans="1:24" x14ac:dyDescent="0.2">
      <c r="A44" s="120" t="s">
        <v>127</v>
      </c>
      <c r="B44">
        <f>B39/B42</f>
        <v>15.485399815906465</v>
      </c>
      <c r="C44">
        <f>C39/C42</f>
        <v>20.288020256369681</v>
      </c>
      <c r="D44" s="121">
        <f>D39/D42</f>
        <v>16.785683681339087</v>
      </c>
      <c r="E44" s="49"/>
      <c r="F44" s="49"/>
      <c r="G44" s="49"/>
      <c r="I44" s="74"/>
      <c r="J44" s="24"/>
      <c r="K44" s="63"/>
      <c r="L44" s="63">
        <v>8</v>
      </c>
      <c r="M44" s="63">
        <f t="shared" si="17"/>
        <v>844833.78411704104</v>
      </c>
      <c r="N44" s="63"/>
      <c r="O44" s="63">
        <v>8</v>
      </c>
      <c r="P44" s="63">
        <f t="shared" si="19"/>
        <v>4.70596E-2</v>
      </c>
      <c r="Q44" s="63">
        <f>M44*SUM(P$37:P44)*B$5</f>
        <v>98379.001732753022</v>
      </c>
      <c r="R44" s="63">
        <f t="shared" si="11"/>
        <v>3708888.3653247892</v>
      </c>
      <c r="S44" s="70">
        <f t="shared" si="12"/>
        <v>66759990575.846207</v>
      </c>
      <c r="T44" s="70">
        <f t="shared" si="13"/>
        <v>59263586259.027756</v>
      </c>
      <c r="U44" s="70">
        <f t="shared" si="14"/>
        <v>3454086750.8369584</v>
      </c>
      <c r="V44" s="70">
        <f t="shared" si="15"/>
        <v>2623073394.7590265</v>
      </c>
      <c r="W44" s="70">
        <f t="shared" si="18"/>
        <v>2160000000</v>
      </c>
      <c r="X44" s="71">
        <f t="shared" si="16"/>
        <v>1640328961.4271009</v>
      </c>
    </row>
    <row r="45" spans="1:24" x14ac:dyDescent="0.2">
      <c r="I45" s="69" t="s">
        <v>29</v>
      </c>
      <c r="J45" s="22"/>
      <c r="K45" s="63"/>
      <c r="L45" s="63">
        <v>9</v>
      </c>
      <c r="M45" s="63">
        <f t="shared" si="17"/>
        <v>861730.45979938179</v>
      </c>
      <c r="N45" s="63"/>
      <c r="O45" s="63">
        <v>9</v>
      </c>
      <c r="P45" s="63">
        <f t="shared" si="19"/>
        <v>4.6118408E-2</v>
      </c>
      <c r="Q45" s="63">
        <f>M45*SUM(P$37:P45)*B$5</f>
        <v>124191.56392604134</v>
      </c>
      <c r="R45" s="63">
        <f t="shared" si="11"/>
        <v>4682021.9600117588</v>
      </c>
      <c r="S45" s="70">
        <f t="shared" si="12"/>
        <v>84276395280.211655</v>
      </c>
      <c r="T45" s="70">
        <f t="shared" si="13"/>
        <v>73707481343.933914</v>
      </c>
      <c r="U45" s="70">
        <f t="shared" si="14"/>
        <v>4360365809.4433117</v>
      </c>
      <c r="V45" s="70">
        <f t="shared" si="15"/>
        <v>3199335444.4651942</v>
      </c>
      <c r="W45" s="70">
        <f t="shared" si="18"/>
        <v>2429999999.9999995</v>
      </c>
      <c r="X45" s="71">
        <f t="shared" si="16"/>
        <v>1782966262.4207618</v>
      </c>
    </row>
    <row r="46" spans="1:24" x14ac:dyDescent="0.2">
      <c r="I46" s="69"/>
      <c r="J46" s="43"/>
      <c r="K46" s="63"/>
      <c r="L46" s="88">
        <v>10</v>
      </c>
      <c r="M46" s="88">
        <f t="shared" si="17"/>
        <v>878965.0689953696</v>
      </c>
      <c r="N46" s="63"/>
      <c r="O46" s="88">
        <v>10</v>
      </c>
      <c r="P46" s="63">
        <f t="shared" si="19"/>
        <v>4.519603984E-2</v>
      </c>
      <c r="Q46" s="63">
        <f>M46*SUM(P$37:P46)*B$5</f>
        <v>150510.83937033205</v>
      </c>
      <c r="R46" s="63">
        <f t="shared" si="11"/>
        <v>5674258.6442615185</v>
      </c>
      <c r="S46" s="70">
        <f t="shared" si="12"/>
        <v>102136655596.70734</v>
      </c>
      <c r="T46" s="70">
        <f t="shared" si="13"/>
        <v>88007809285.376968</v>
      </c>
      <c r="U46" s="70">
        <f t="shared" si="14"/>
        <v>5284435570.2923584</v>
      </c>
      <c r="V46" s="70">
        <f t="shared" si="15"/>
        <v>3746235795.6173816</v>
      </c>
      <c r="W46" s="70">
        <f>B$5*O46*(B$3/10)</f>
        <v>2700000000</v>
      </c>
      <c r="X46" s="71">
        <f t="shared" si="16"/>
        <v>1914080797.0163846</v>
      </c>
    </row>
    <row r="47" spans="1:24" x14ac:dyDescent="0.2">
      <c r="I47" s="73" t="s">
        <v>47</v>
      </c>
      <c r="J47" s="22">
        <f>SUM(X37:X46)</f>
        <v>11714130296.515038</v>
      </c>
      <c r="K47" s="63"/>
      <c r="L47" s="63">
        <v>11</v>
      </c>
      <c r="M47" s="63">
        <f t="shared" si="17"/>
        <v>896544.37037527678</v>
      </c>
      <c r="N47" s="63"/>
      <c r="O47" s="63">
        <v>11</v>
      </c>
      <c r="P47" s="63">
        <f t="shared" si="19"/>
        <v>4.4292119043199997E-2</v>
      </c>
      <c r="Q47" s="63">
        <f>M47*SUM(P$37:P47)*B$5</f>
        <v>177346.96614584219</v>
      </c>
      <c r="R47" s="63">
        <f t="shared" si="11"/>
        <v>6685980.6236982513</v>
      </c>
      <c r="S47" s="70">
        <f t="shared" si="12"/>
        <v>120347651226.56853</v>
      </c>
      <c r="T47" s="70">
        <f t="shared" si="13"/>
        <v>102167120666.66431</v>
      </c>
      <c r="U47" s="70">
        <f t="shared" si="14"/>
        <v>6226651981.3805189</v>
      </c>
      <c r="V47" s="70">
        <f t="shared" si="15"/>
        <v>4264918585.5303183</v>
      </c>
      <c r="W47" s="70">
        <f>W46</f>
        <v>2700000000</v>
      </c>
      <c r="X47" s="71">
        <f t="shared" si="16"/>
        <v>1849353427.0689707</v>
      </c>
    </row>
    <row r="48" spans="1:24" x14ac:dyDescent="0.2">
      <c r="I48" s="73"/>
      <c r="J48" s="22"/>
      <c r="K48" s="63"/>
      <c r="L48" s="63">
        <v>12</v>
      </c>
      <c r="M48" s="63">
        <f t="shared" si="17"/>
        <v>914475.25778278243</v>
      </c>
      <c r="N48" s="63"/>
      <c r="O48" s="63">
        <v>12</v>
      </c>
      <c r="P48" s="63">
        <f t="shared" si="19"/>
        <v>4.3406276662335999E-2</v>
      </c>
      <c r="Q48" s="63">
        <f>M48*SUM(P$37:P48)*B$5</f>
        <v>204710.28509286733</v>
      </c>
      <c r="R48" s="63">
        <f t="shared" si="11"/>
        <v>7717577.7480010986</v>
      </c>
      <c r="S48" s="70">
        <f t="shared" si="12"/>
        <v>138916399464.01978</v>
      </c>
      <c r="T48" s="70">
        <f t="shared" si="13"/>
        <v>116187929206.70251</v>
      </c>
      <c r="U48" s="70">
        <f t="shared" si="14"/>
        <v>7187378109.6105719</v>
      </c>
      <c r="V48" s="70">
        <f t="shared" si="15"/>
        <v>4756486791.4291687</v>
      </c>
      <c r="W48" s="70">
        <f>W47</f>
        <v>2700000000</v>
      </c>
      <c r="X48" s="71">
        <f t="shared" si="16"/>
        <v>1786814905.3806481</v>
      </c>
    </row>
    <row r="49" spans="1:24" x14ac:dyDescent="0.2">
      <c r="F49" s="52"/>
      <c r="G49" s="52"/>
      <c r="I49" s="45" t="s">
        <v>32</v>
      </c>
      <c r="J49" s="25">
        <f>J43-J47</f>
        <v>298917414293.99646</v>
      </c>
      <c r="K49" s="63"/>
      <c r="L49" s="63">
        <v>13</v>
      </c>
      <c r="M49" s="63">
        <f t="shared" si="17"/>
        <v>932764.7629384381</v>
      </c>
      <c r="N49" s="63"/>
      <c r="O49" s="63">
        <v>13</v>
      </c>
      <c r="P49" s="63">
        <f t="shared" si="19"/>
        <v>4.2538151129089277E-2</v>
      </c>
      <c r="Q49" s="63">
        <f>M49*SUM(P$37:P49)*B$5</f>
        <v>232611.34386698334</v>
      </c>
      <c r="R49" s="63">
        <f t="shared" si="11"/>
        <v>8769447.6637852732</v>
      </c>
      <c r="S49" s="70">
        <f t="shared" si="12"/>
        <v>157850057948.13492</v>
      </c>
      <c r="T49" s="70">
        <f t="shared" si="13"/>
        <v>130072712328.35416</v>
      </c>
      <c r="U49" s="70">
        <f t="shared" si="14"/>
        <v>8166984283.1697855</v>
      </c>
      <c r="V49" s="70">
        <f t="shared" si="15"/>
        <v>5222003667.6247129</v>
      </c>
      <c r="W49" s="70">
        <f t="shared" ref="W49:W66" si="20">W48</f>
        <v>2700000000</v>
      </c>
      <c r="X49" s="71">
        <f t="shared" si="16"/>
        <v>1726391212.9281623</v>
      </c>
    </row>
    <row r="50" spans="1:24" ht="16" thickBot="1" x14ac:dyDescent="0.25">
      <c r="A50" s="3" t="s">
        <v>111</v>
      </c>
      <c r="B50" s="113">
        <f>1/1.0533</f>
        <v>0.94939713282065896</v>
      </c>
      <c r="I50" s="46" t="s">
        <v>33</v>
      </c>
      <c r="J50" s="26">
        <f>J43/J47</f>
        <v>26.517678797112627</v>
      </c>
      <c r="K50" s="63"/>
      <c r="L50" s="63">
        <v>14</v>
      </c>
      <c r="M50" s="63">
        <f t="shared" si="17"/>
        <v>951420.05819720682</v>
      </c>
      <c r="N50" s="63"/>
      <c r="O50" s="63">
        <v>14</v>
      </c>
      <c r="P50" s="63">
        <f t="shared" si="19"/>
        <v>4.1687388106507489E-2</v>
      </c>
      <c r="Q50" s="63">
        <f>M50*SUM(P$37:P50)*B$5</f>
        <v>261060.90107535274</v>
      </c>
      <c r="R50" s="63">
        <f t="shared" si="11"/>
        <v>9841995.9705407992</v>
      </c>
      <c r="S50" s="70">
        <f t="shared" si="12"/>
        <v>177155927469.73438</v>
      </c>
      <c r="T50" s="70">
        <f t="shared" si="13"/>
        <v>143823911718.21591</v>
      </c>
      <c r="U50" s="70">
        <f t="shared" si="14"/>
        <v>9165848236.7556343</v>
      </c>
      <c r="V50" s="70">
        <f t="shared" si="15"/>
        <v>5662494133.1071825</v>
      </c>
      <c r="W50" s="70">
        <f t="shared" si="20"/>
        <v>2700000000</v>
      </c>
      <c r="X50" s="71">
        <f t="shared" si="16"/>
        <v>1668010833.7470171</v>
      </c>
    </row>
    <row r="51" spans="1:24" ht="17" thickBot="1" x14ac:dyDescent="0.25">
      <c r="B51" s="82" t="s">
        <v>76</v>
      </c>
      <c r="C51" s="75"/>
      <c r="D51" s="75"/>
      <c r="E51" s="75"/>
      <c r="F51" s="75"/>
      <c r="G51" s="75"/>
      <c r="I51" s="74"/>
      <c r="J51" s="27"/>
      <c r="K51" s="63"/>
      <c r="L51" s="63">
        <v>15</v>
      </c>
      <c r="M51" s="63">
        <f t="shared" si="17"/>
        <v>970448.45936115086</v>
      </c>
      <c r="N51" s="63"/>
      <c r="O51" s="63">
        <v>15</v>
      </c>
      <c r="P51" s="63">
        <f t="shared" si="19"/>
        <v>4.0853640344377336E-2</v>
      </c>
      <c r="Q51" s="63">
        <f>M51*SUM(P$37:P51)*B$5</f>
        <v>290069.93049575709</v>
      </c>
      <c r="R51" s="63">
        <f t="shared" si="11"/>
        <v>10935636.379690044</v>
      </c>
      <c r="S51" s="70">
        <f t="shared" si="12"/>
        <v>196841454834.42078</v>
      </c>
      <c r="T51" s="70">
        <f t="shared" si="13"/>
        <v>157443933877.94824</v>
      </c>
      <c r="U51" s="70">
        <f t="shared" si="14"/>
        <v>10184355259.706032</v>
      </c>
      <c r="V51" s="70">
        <f t="shared" si="15"/>
        <v>6078946111.2607183</v>
      </c>
      <c r="W51" s="70">
        <f t="shared" si="20"/>
        <v>2700000000</v>
      </c>
      <c r="X51" s="71">
        <f t="shared" si="16"/>
        <v>1611604670.286973</v>
      </c>
    </row>
    <row r="52" spans="1:24" ht="21" x14ac:dyDescent="0.25">
      <c r="B52" s="82"/>
      <c r="C52" s="85"/>
      <c r="D52" s="81"/>
      <c r="E52" s="81"/>
      <c r="F52" s="81"/>
      <c r="G52" s="81"/>
      <c r="I52" s="62" t="s">
        <v>43</v>
      </c>
      <c r="J52" s="21">
        <v>30</v>
      </c>
      <c r="K52" s="63"/>
      <c r="L52" s="63">
        <v>16</v>
      </c>
      <c r="M52" s="63">
        <f t="shared" si="17"/>
        <v>989857.42854837398</v>
      </c>
      <c r="N52" s="63"/>
      <c r="O52" s="63">
        <v>16</v>
      </c>
      <c r="P52" s="63">
        <f t="shared" si="19"/>
        <v>4.0036567537489791E-2</v>
      </c>
      <c r="Q52" s="63">
        <f>M52*SUM(P$37:P52)*B$5</f>
        <v>319649.62538000999</v>
      </c>
      <c r="R52" s="63">
        <f t="shared" si="11"/>
        <v>12050790.876826378</v>
      </c>
      <c r="S52" s="70">
        <f t="shared" si="12"/>
        <v>216914235782.87479</v>
      </c>
      <c r="T52" s="70">
        <f t="shared" si="13"/>
        <v>170935150667.28488</v>
      </c>
      <c r="U52" s="70">
        <f t="shared" si="14"/>
        <v>11222898347.092152</v>
      </c>
      <c r="V52" s="70">
        <f t="shared" si="15"/>
        <v>6472311823.3421593</v>
      </c>
      <c r="W52" s="70">
        <f t="shared" si="20"/>
        <v>2700000000</v>
      </c>
      <c r="X52" s="71">
        <f t="shared" si="16"/>
        <v>1557105961.629926</v>
      </c>
    </row>
    <row r="53" spans="1:24" x14ac:dyDescent="0.2">
      <c r="A53" s="3" t="s">
        <v>63</v>
      </c>
      <c r="B53" s="101"/>
      <c r="C53" s="86"/>
      <c r="D53" s="86"/>
      <c r="E53" s="86"/>
      <c r="F53" s="86"/>
      <c r="G53" s="86"/>
      <c r="I53" s="69" t="s">
        <v>12</v>
      </c>
      <c r="J53" s="22"/>
      <c r="K53" s="63"/>
      <c r="L53" s="63">
        <v>17</v>
      </c>
      <c r="M53" s="63">
        <f t="shared" si="17"/>
        <v>1009654.5771193416</v>
      </c>
      <c r="N53" s="63"/>
      <c r="O53" s="63">
        <v>17</v>
      </c>
      <c r="P53" s="63">
        <f t="shared" si="19"/>
        <v>3.9235836186739995E-2</v>
      </c>
      <c r="Q53" s="63">
        <f>M53*SUM(P$37:P53)*B$5</f>
        <v>349811.40284343826</v>
      </c>
      <c r="R53" s="63">
        <f t="shared" si="11"/>
        <v>13187889.887197623</v>
      </c>
      <c r="S53" s="70">
        <f t="shared" si="12"/>
        <v>237382017969.55722</v>
      </c>
      <c r="T53" s="70">
        <f t="shared" si="13"/>
        <v>184299899838.84915</v>
      </c>
      <c r="U53" s="70">
        <f t="shared" si="14"/>
        <v>12281878353.833117</v>
      </c>
      <c r="V53" s="70">
        <f t="shared" si="15"/>
        <v>6843509037.3115358</v>
      </c>
      <c r="W53" s="70">
        <f t="shared" si="20"/>
        <v>2700000000</v>
      </c>
      <c r="X53" s="71">
        <f t="shared" si="16"/>
        <v>1504450204.4733584</v>
      </c>
    </row>
    <row r="54" spans="1:24" x14ac:dyDescent="0.2">
      <c r="A54" s="56" t="s">
        <v>113</v>
      </c>
      <c r="B54" s="108">
        <v>1100000000</v>
      </c>
      <c r="C54" s="86"/>
      <c r="D54" s="86"/>
      <c r="E54" s="86"/>
      <c r="F54" s="86"/>
      <c r="G54" s="86"/>
      <c r="I54" s="69" t="s">
        <v>13</v>
      </c>
      <c r="J54" s="43" t="s">
        <v>1</v>
      </c>
      <c r="K54" s="63"/>
      <c r="L54" s="63">
        <v>18</v>
      </c>
      <c r="M54" s="63">
        <f t="shared" si="17"/>
        <v>1029847.6686617283</v>
      </c>
      <c r="N54" s="63"/>
      <c r="O54" s="63">
        <v>18</v>
      </c>
      <c r="P54" s="63">
        <f t="shared" si="19"/>
        <v>3.8451119463005196E-2</v>
      </c>
      <c r="Q54" s="63">
        <f>M54*SUM(P$37:P54)*B$5</f>
        <v>380566.90834215266</v>
      </c>
      <c r="R54" s="63">
        <f t="shared" si="11"/>
        <v>14347372.444499156</v>
      </c>
      <c r="S54" s="70">
        <f t="shared" si="12"/>
        <v>258252704000.9848</v>
      </c>
      <c r="T54" s="70">
        <f t="shared" si="13"/>
        <v>197540485564.90033</v>
      </c>
      <c r="U54" s="70">
        <f t="shared" si="14"/>
        <v>13361704151.892981</v>
      </c>
      <c r="V54" s="70">
        <f t="shared" si="15"/>
        <v>7193422273.5472956</v>
      </c>
      <c r="W54" s="70">
        <f t="shared" si="20"/>
        <v>2700000000</v>
      </c>
      <c r="X54" s="71">
        <f t="shared" si="16"/>
        <v>1453575076.7858536</v>
      </c>
    </row>
    <row r="55" spans="1:24" x14ac:dyDescent="0.2">
      <c r="A55" s="56" t="s">
        <v>108</v>
      </c>
      <c r="B55" s="116">
        <f>B54/B50</f>
        <v>1158630000</v>
      </c>
      <c r="C55" s="75"/>
      <c r="D55" s="75"/>
      <c r="E55" s="75"/>
      <c r="F55" s="75"/>
      <c r="G55" s="75"/>
      <c r="I55" s="73" t="s">
        <v>22</v>
      </c>
      <c r="J55" s="23">
        <f>SUM(Q37:Q66)</f>
        <v>9932890.723405011</v>
      </c>
      <c r="K55" s="63"/>
      <c r="L55" s="63">
        <v>19</v>
      </c>
      <c r="M55" s="63">
        <f t="shared" si="17"/>
        <v>1050444.6220349628</v>
      </c>
      <c r="O55" s="63">
        <v>19</v>
      </c>
      <c r="P55" s="63">
        <f t="shared" si="19"/>
        <v>3.7682097073745091E-2</v>
      </c>
      <c r="Q55" s="63">
        <f>M55*SUM(P$37:P55)*B$5</f>
        <v>411928.02023986465</v>
      </c>
      <c r="R55" s="63">
        <f t="shared" si="11"/>
        <v>15529686.363042898</v>
      </c>
      <c r="S55" s="70">
        <f t="shared" si="12"/>
        <v>279534354534.77216</v>
      </c>
      <c r="T55" s="70">
        <f t="shared" si="13"/>
        <v>210659178956.1348</v>
      </c>
      <c r="U55" s="70">
        <f t="shared" si="14"/>
        <v>14462792790.621649</v>
      </c>
      <c r="V55" s="70">
        <f t="shared" si="15"/>
        <v>7522903968.926734</v>
      </c>
      <c r="W55" s="70">
        <f t="shared" si="20"/>
        <v>2700000000</v>
      </c>
      <c r="X55" s="71">
        <f t="shared" si="16"/>
        <v>1404420364.0443034</v>
      </c>
    </row>
    <row r="56" spans="1:24" x14ac:dyDescent="0.2">
      <c r="A56" s="80" t="s">
        <v>226</v>
      </c>
      <c r="B56" s="129">
        <v>33000</v>
      </c>
      <c r="C56" s="86"/>
      <c r="D56" s="86"/>
      <c r="E56" s="86"/>
      <c r="F56" s="86"/>
      <c r="G56" s="86"/>
      <c r="I56" s="73" t="s">
        <v>23</v>
      </c>
      <c r="J56" s="22">
        <f>J55*B$20</f>
        <v>374469980.27236897</v>
      </c>
      <c r="K56" s="63"/>
      <c r="L56" s="63">
        <v>20</v>
      </c>
      <c r="M56" s="63">
        <f t="shared" si="17"/>
        <v>1071453.5144756623</v>
      </c>
      <c r="N56" s="63"/>
      <c r="O56" s="63">
        <v>20</v>
      </c>
      <c r="P56" s="63">
        <f t="shared" si="19"/>
        <v>3.6928455132270187E-2</v>
      </c>
      <c r="Q56" s="63">
        <f>M56*SUM(P$37:P56)*B$5</f>
        <v>443906.8544660387</v>
      </c>
      <c r="R56" s="63">
        <f t="shared" si="11"/>
        <v>16735288.413369659</v>
      </c>
      <c r="S56" s="70">
        <f t="shared" si="12"/>
        <v>301235191440.65387</v>
      </c>
      <c r="T56" s="70">
        <f t="shared" si="13"/>
        <v>223658218572.66052</v>
      </c>
      <c r="U56" s="70">
        <f t="shared" si="14"/>
        <v>15585569660.302618</v>
      </c>
      <c r="V56" s="70">
        <f t="shared" si="15"/>
        <v>7832775600.701396</v>
      </c>
      <c r="W56" s="70">
        <f t="shared" si="20"/>
        <v>2700000000</v>
      </c>
      <c r="X56" s="71">
        <f t="shared" si="16"/>
        <v>1356927887.9655104</v>
      </c>
    </row>
    <row r="57" spans="1:24" x14ac:dyDescent="0.2">
      <c r="A57" s="80" t="s">
        <v>114</v>
      </c>
      <c r="B57" s="110">
        <f>B54/B56</f>
        <v>33333.333333333336</v>
      </c>
      <c r="C57" s="50"/>
      <c r="D57" s="50"/>
      <c r="E57" s="50"/>
      <c r="F57" s="50"/>
      <c r="G57" s="50"/>
      <c r="I57" s="73" t="s">
        <v>37</v>
      </c>
      <c r="J57" s="22">
        <f>SUM(T37:T66)</f>
        <v>4874163495140.1953</v>
      </c>
      <c r="K57" s="63"/>
      <c r="L57" s="63">
        <v>21</v>
      </c>
      <c r="M57" s="63">
        <f t="shared" si="17"/>
        <v>1092882.5847651754</v>
      </c>
      <c r="N57" s="63"/>
      <c r="O57" s="63">
        <v>21</v>
      </c>
      <c r="P57" s="63">
        <f t="shared" si="19"/>
        <v>3.6189886029624779E-2</v>
      </c>
      <c r="Q57" s="63">
        <f>M57*SUM(P$37:P57)*B$5</f>
        <v>476515.76926720748</v>
      </c>
      <c r="R57" s="63">
        <f t="shared" si="11"/>
        <v>17964644.501373723</v>
      </c>
      <c r="S57" s="70">
        <f t="shared" si="12"/>
        <v>323363601024.72699</v>
      </c>
      <c r="T57" s="70">
        <f t="shared" si="13"/>
        <v>236539810927.26523</v>
      </c>
      <c r="U57" s="70">
        <f t="shared" si="14"/>
        <v>16730468658.971655</v>
      </c>
      <c r="V57" s="70">
        <f t="shared" si="15"/>
        <v>8123828771.5482454</v>
      </c>
      <c r="W57" s="70">
        <f t="shared" si="20"/>
        <v>2700000000</v>
      </c>
      <c r="X57" s="71">
        <f t="shared" si="16"/>
        <v>1311041437.6478362</v>
      </c>
    </row>
    <row r="58" spans="1:24" x14ac:dyDescent="0.2">
      <c r="A58" s="80" t="s">
        <v>91</v>
      </c>
      <c r="B58" s="112">
        <f>B57/B50</f>
        <v>35110</v>
      </c>
      <c r="C58" s="51"/>
      <c r="D58" s="51"/>
      <c r="E58" s="51"/>
      <c r="F58" s="51"/>
      <c r="G58" s="51"/>
      <c r="I58" s="83" t="s">
        <v>41</v>
      </c>
      <c r="J58" s="30">
        <f>SUM(V37:V66)</f>
        <v>167105433324.93591</v>
      </c>
      <c r="K58" s="63"/>
      <c r="L58" s="63">
        <v>22</v>
      </c>
      <c r="M58" s="63">
        <f t="shared" si="17"/>
        <v>1114740.2364604787</v>
      </c>
      <c r="N58" s="63"/>
      <c r="O58" s="63">
        <v>22</v>
      </c>
      <c r="P58" s="63">
        <f t="shared" si="19"/>
        <v>3.5466088309032286E-2</v>
      </c>
      <c r="Q58" s="63">
        <f>M58*SUM(P$37:P58)*B$5</f>
        <v>509767.37005331489</v>
      </c>
      <c r="R58" s="63">
        <f t="shared" si="11"/>
        <v>19218229.851009972</v>
      </c>
      <c r="S58" s="70">
        <f t="shared" si="12"/>
        <v>345928137318.1795</v>
      </c>
      <c r="T58" s="70">
        <f t="shared" si="13"/>
        <v>249306130981.09586</v>
      </c>
      <c r="U58" s="70">
        <f t="shared" si="14"/>
        <v>17897932362.571884</v>
      </c>
      <c r="V58" s="70">
        <f t="shared" si="15"/>
        <v>8396826257.1300697</v>
      </c>
      <c r="W58" s="70">
        <f t="shared" si="20"/>
        <v>2700000000</v>
      </c>
      <c r="X58" s="71">
        <f t="shared" si="16"/>
        <v>1266706703.0413878</v>
      </c>
    </row>
    <row r="59" spans="1:24" x14ac:dyDescent="0.2">
      <c r="C59" s="81"/>
      <c r="D59" s="81"/>
      <c r="E59" s="81"/>
      <c r="F59" s="81"/>
      <c r="G59" s="81"/>
      <c r="I59" s="73" t="s">
        <v>39</v>
      </c>
      <c r="J59" s="22">
        <f>J57</f>
        <v>4874163495140.1953</v>
      </c>
      <c r="K59" s="63"/>
      <c r="L59" s="63">
        <v>23</v>
      </c>
      <c r="M59" s="63">
        <f t="shared" si="17"/>
        <v>1137035.0411896883</v>
      </c>
      <c r="N59" s="63"/>
      <c r="O59" s="63">
        <v>23</v>
      </c>
      <c r="P59" s="63">
        <f t="shared" si="19"/>
        <v>3.475676654285164E-2</v>
      </c>
      <c r="Q59" s="63">
        <f>M59*SUM(P$37:P59)*B$5</f>
        <v>543674.51434098417</v>
      </c>
      <c r="R59" s="63">
        <f t="shared" si="11"/>
        <v>20496529.190655105</v>
      </c>
      <c r="S59" s="70">
        <f t="shared" si="12"/>
        <v>368937525431.79187</v>
      </c>
      <c r="T59" s="70">
        <f t="shared" si="13"/>
        <v>261959322631.86221</v>
      </c>
      <c r="U59" s="70">
        <f t="shared" si="14"/>
        <v>19088412198.511955</v>
      </c>
      <c r="V59" s="70">
        <f t="shared" si="15"/>
        <v>8652503017.4528866</v>
      </c>
      <c r="W59" s="70">
        <f t="shared" si="20"/>
        <v>2700000000</v>
      </c>
      <c r="X59" s="71">
        <f t="shared" si="16"/>
        <v>1223871210.6680076</v>
      </c>
    </row>
    <row r="60" spans="1:24" x14ac:dyDescent="0.2">
      <c r="A60" s="84" t="s">
        <v>112</v>
      </c>
      <c r="B60" s="111">
        <v>33100</v>
      </c>
      <c r="C60" s="81"/>
      <c r="D60" s="81"/>
      <c r="E60" s="81"/>
      <c r="F60" s="81"/>
      <c r="G60" s="81"/>
      <c r="I60" s="74"/>
      <c r="J60" s="24"/>
      <c r="K60" s="63"/>
      <c r="L60" s="63">
        <v>24</v>
      </c>
      <c r="M60" s="63">
        <f t="shared" si="17"/>
        <v>1159775.7420134821</v>
      </c>
      <c r="N60" s="63"/>
      <c r="O60" s="63">
        <v>24</v>
      </c>
      <c r="P60" s="63">
        <f t="shared" si="19"/>
        <v>3.4061631211994604E-2</v>
      </c>
      <c r="Q60" s="63">
        <f>M60*SUM(P$37:P60)*B$5</f>
        <v>578250.31679565227</v>
      </c>
      <c r="R60" s="63">
        <f t="shared" si="11"/>
        <v>21800036.943196092</v>
      </c>
      <c r="S60" s="70">
        <f t="shared" si="12"/>
        <v>392400664977.52966</v>
      </c>
      <c r="T60" s="70">
        <f t="shared" si="13"/>
        <v>274501499194.68185</v>
      </c>
      <c r="U60" s="70">
        <f t="shared" si="14"/>
        <v>20302368622.695351</v>
      </c>
      <c r="V60" s="70">
        <f t="shared" si="15"/>
        <v>8891567173.2640285</v>
      </c>
      <c r="W60" s="70">
        <f t="shared" si="20"/>
        <v>2700000000</v>
      </c>
      <c r="X60" s="71">
        <f t="shared" si="16"/>
        <v>1182484261.5149832</v>
      </c>
    </row>
    <row r="61" spans="1:24" x14ac:dyDescent="0.2">
      <c r="A61" s="3" t="s">
        <v>169</v>
      </c>
      <c r="B61" s="102">
        <f>B60*(C103/B103)</f>
        <v>27941.919980776162</v>
      </c>
      <c r="C61" s="86"/>
      <c r="D61" s="86"/>
      <c r="E61" s="86"/>
      <c r="F61" s="86"/>
      <c r="G61" s="86"/>
      <c r="I61" s="69" t="s">
        <v>29</v>
      </c>
      <c r="J61" s="22"/>
      <c r="K61" s="63"/>
      <c r="L61" s="63">
        <v>25</v>
      </c>
      <c r="M61" s="63">
        <f t="shared" si="17"/>
        <v>1182971.2568537516</v>
      </c>
      <c r="N61" s="63"/>
      <c r="O61" s="63">
        <v>25</v>
      </c>
      <c r="P61" s="63">
        <f t="shared" si="19"/>
        <v>3.3380398587754712E-2</v>
      </c>
      <c r="Q61" s="63">
        <f>M61*SUM(P$37:P61)*B$5</f>
        <v>613508.15437454649</v>
      </c>
      <c r="R61" s="63">
        <f t="shared" si="11"/>
        <v>23129257.419920404</v>
      </c>
      <c r="S61" s="70">
        <f t="shared" si="12"/>
        <v>416326633558.56726</v>
      </c>
      <c r="T61" s="70">
        <f t="shared" si="13"/>
        <v>286934743875.67517</v>
      </c>
      <c r="U61" s="70">
        <f t="shared" si="14"/>
        <v>21540271300.090328</v>
      </c>
      <c r="V61" s="70">
        <f t="shared" si="15"/>
        <v>9114700948.691967</v>
      </c>
      <c r="W61" s="70">
        <f t="shared" si="20"/>
        <v>2700000000</v>
      </c>
      <c r="X61" s="71">
        <f t="shared" si="16"/>
        <v>1142496871.0289695</v>
      </c>
    </row>
    <row r="62" spans="1:24" x14ac:dyDescent="0.2">
      <c r="B62" s="56"/>
      <c r="C62" s="86"/>
      <c r="D62" s="86"/>
      <c r="E62" s="86"/>
      <c r="F62" s="86"/>
      <c r="G62" s="86"/>
      <c r="I62" s="69" t="s">
        <v>13</v>
      </c>
      <c r="J62" s="43" t="s">
        <v>1</v>
      </c>
      <c r="K62" s="63"/>
      <c r="L62" s="63">
        <v>26</v>
      </c>
      <c r="M62" s="63">
        <f t="shared" si="17"/>
        <v>1206630.681990827</v>
      </c>
      <c r="N62" s="63"/>
      <c r="O62" s="63">
        <v>26</v>
      </c>
      <c r="P62" s="63">
        <f t="shared" si="19"/>
        <v>3.2712790615999618E-2</v>
      </c>
      <c r="Q62" s="63">
        <f>M62*SUM(P$37:P62)*B$5</f>
        <v>649461.67157252168</v>
      </c>
      <c r="R62" s="63">
        <f t="shared" si="11"/>
        <v>24484705.018284068</v>
      </c>
      <c r="S62" s="70">
        <f t="shared" si="12"/>
        <v>440724690329.11322</v>
      </c>
      <c r="T62" s="70">
        <f t="shared" si="13"/>
        <v>299261110238.42297</v>
      </c>
      <c r="U62" s="70">
        <f t="shared" si="14"/>
        <v>22802599288.911236</v>
      </c>
      <c r="V62" s="70">
        <f t="shared" si="15"/>
        <v>9322561581.2877045</v>
      </c>
      <c r="W62" s="70">
        <f t="shared" si="20"/>
        <v>2700000000</v>
      </c>
      <c r="X62" s="71">
        <f t="shared" si="16"/>
        <v>1103861711.1391008</v>
      </c>
    </row>
    <row r="63" spans="1:24" x14ac:dyDescent="0.2">
      <c r="A63" s="3" t="s">
        <v>174</v>
      </c>
      <c r="B63" s="103"/>
      <c r="C63" s="75"/>
      <c r="D63" s="75"/>
      <c r="E63" s="75"/>
      <c r="F63" s="75"/>
      <c r="G63" s="75"/>
      <c r="I63" s="73" t="s">
        <v>47</v>
      </c>
      <c r="J63" s="22">
        <f>SUM(X37:X66)</f>
        <v>38917818536.234184</v>
      </c>
      <c r="K63" s="63"/>
      <c r="L63" s="63">
        <v>27</v>
      </c>
      <c r="M63" s="63">
        <f t="shared" si="17"/>
        <v>1230763.2956306431</v>
      </c>
      <c r="N63" s="63"/>
      <c r="O63" s="63">
        <v>27</v>
      </c>
      <c r="P63" s="63">
        <f t="shared" si="19"/>
        <v>3.2058534803679622E-2</v>
      </c>
      <c r="Q63" s="63">
        <f>M63*SUM(P$37:P63)*B$5</f>
        <v>686124.78577281174</v>
      </c>
      <c r="R63" s="63">
        <f t="shared" si="11"/>
        <v>25866904.423635006</v>
      </c>
      <c r="S63" s="70">
        <f t="shared" si="12"/>
        <v>465604279625.43011</v>
      </c>
      <c r="T63" s="70">
        <f t="shared" si="13"/>
        <v>311482622663.39325</v>
      </c>
      <c r="U63" s="70">
        <f t="shared" si="14"/>
        <v>24089841228.483421</v>
      </c>
      <c r="V63" s="70">
        <f t="shared" si="15"/>
        <v>9515782200.5879307</v>
      </c>
      <c r="W63" s="70">
        <f t="shared" si="20"/>
        <v>2700000000</v>
      </c>
      <c r="X63" s="71">
        <f t="shared" si="16"/>
        <v>1066533054.2406772</v>
      </c>
    </row>
    <row r="64" spans="1:24" x14ac:dyDescent="0.2">
      <c r="A64" s="56" t="s">
        <v>167</v>
      </c>
      <c r="B64" s="125">
        <v>67500</v>
      </c>
      <c r="C64" s="86"/>
      <c r="D64" s="86"/>
      <c r="E64" s="86"/>
      <c r="F64" s="86"/>
      <c r="G64" s="86"/>
      <c r="I64" s="73"/>
      <c r="J64" s="22"/>
      <c r="K64" s="63"/>
      <c r="L64" s="63">
        <v>28</v>
      </c>
      <c r="M64" s="63">
        <f t="shared" si="17"/>
        <v>1255378.5615432565</v>
      </c>
      <c r="N64" s="63"/>
      <c r="O64" s="63">
        <v>28</v>
      </c>
      <c r="P64" s="63">
        <f t="shared" si="19"/>
        <v>3.1417364107606031E-2</v>
      </c>
      <c r="Q64" s="63">
        <f>M64*SUM(P$37:P64)*B$5</f>
        <v>723511.69270480063</v>
      </c>
      <c r="R64" s="63">
        <f t="shared" si="11"/>
        <v>27276390.814970985</v>
      </c>
      <c r="S64" s="70">
        <f t="shared" si="12"/>
        <v>490975034669.47772</v>
      </c>
      <c r="T64" s="70">
        <f t="shared" si="13"/>
        <v>323601276800.44641</v>
      </c>
      <c r="U64" s="70">
        <f t="shared" si="14"/>
        <v>25402495530.865551</v>
      </c>
      <c r="V64" s="70">
        <f t="shared" si="15"/>
        <v>9694972676.2816944</v>
      </c>
      <c r="W64" s="70">
        <f t="shared" si="20"/>
        <v>2700000000</v>
      </c>
      <c r="X64" s="71">
        <f t="shared" si="16"/>
        <v>1030466719.0731183</v>
      </c>
    </row>
    <row r="65" spans="1:24" x14ac:dyDescent="0.2">
      <c r="A65" s="56" t="s">
        <v>168</v>
      </c>
      <c r="B65" s="103">
        <v>39500</v>
      </c>
      <c r="C65" s="50"/>
      <c r="D65" s="50"/>
      <c r="E65" s="50"/>
      <c r="F65" s="50"/>
      <c r="G65" s="50"/>
      <c r="I65" s="45" t="s">
        <v>32</v>
      </c>
      <c r="J65" s="25">
        <f>+J59-J63</f>
        <v>4835245676603.9609</v>
      </c>
      <c r="K65" s="63"/>
      <c r="L65" s="63">
        <v>29</v>
      </c>
      <c r="M65" s="63">
        <f t="shared" si="17"/>
        <v>1280486.1327741211</v>
      </c>
      <c r="N65" s="63"/>
      <c r="O65" s="63">
        <v>29</v>
      </c>
      <c r="P65" s="63">
        <f>P64*$B$15</f>
        <v>3.0789016825453909E-2</v>
      </c>
      <c r="Q65" s="63">
        <f>M65*SUM(P$37:P65)*B$5</f>
        <v>761636.87201094197</v>
      </c>
      <c r="R65" s="63">
        <f t="shared" si="11"/>
        <v>28713710.074812513</v>
      </c>
      <c r="S65" s="70">
        <f t="shared" si="12"/>
        <v>516846781346.62524</v>
      </c>
      <c r="T65" s="70">
        <f t="shared" si="13"/>
        <v>335619040014.52063</v>
      </c>
      <c r="U65" s="70">
        <f t="shared" si="14"/>
        <v>26741070576.304173</v>
      </c>
      <c r="V65" s="70">
        <f t="shared" si="15"/>
        <v>9860720437.025177</v>
      </c>
      <c r="W65" s="70">
        <f t="shared" si="20"/>
        <v>2700000000</v>
      </c>
      <c r="X65" s="71">
        <f t="shared" si="16"/>
        <v>995620018.42813349</v>
      </c>
    </row>
    <row r="66" spans="1:24" ht="17" thickBot="1" x14ac:dyDescent="0.25">
      <c r="A66" s="3" t="s">
        <v>171</v>
      </c>
      <c r="B66" s="105">
        <f>((B64*G103)+(B65*H103))/C103</f>
        <v>50293.623683461432</v>
      </c>
      <c r="C66" s="51"/>
      <c r="D66" s="51"/>
      <c r="E66" s="51"/>
      <c r="F66" s="51"/>
      <c r="G66" s="51"/>
      <c r="I66" s="48" t="s">
        <v>33</v>
      </c>
      <c r="J66" s="28">
        <f>J59/ J63</f>
        <v>125.24246420960458</v>
      </c>
      <c r="K66" s="77"/>
      <c r="L66" s="77">
        <v>30</v>
      </c>
      <c r="M66" s="77">
        <f t="shared" si="17"/>
        <v>1306095.8554296037</v>
      </c>
      <c r="N66" s="77"/>
      <c r="O66" s="77">
        <v>30</v>
      </c>
      <c r="P66" s="77">
        <f>P65*$B$15</f>
        <v>3.0173236488944832E-2</v>
      </c>
      <c r="Q66" s="77">
        <f>M66*SUM(P$37:P66)*B$5</f>
        <v>800515.09292502573</v>
      </c>
      <c r="R66" s="77">
        <f t="shared" si="11"/>
        <v>30179419.003273472</v>
      </c>
      <c r="S66" s="78">
        <f t="shared" si="12"/>
        <v>543229542058.92249</v>
      </c>
      <c r="T66" s="78">
        <f t="shared" si="13"/>
        <v>347537851824.60645</v>
      </c>
      <c r="U66" s="78">
        <f t="shared" si="14"/>
        <v>28106084912.597652</v>
      </c>
      <c r="V66" s="78">
        <f t="shared" si="15"/>
        <v>10013591260.913639</v>
      </c>
      <c r="W66" s="114">
        <f t="shared" si="20"/>
        <v>2700000000</v>
      </c>
      <c r="X66" s="79">
        <f t="shared" si="16"/>
        <v>961951708.62621605</v>
      </c>
    </row>
    <row r="67" spans="1:24" x14ac:dyDescent="0.2">
      <c r="L67" s="88"/>
      <c r="M67" s="88"/>
      <c r="O67" s="88"/>
      <c r="P67" s="63"/>
    </row>
    <row r="68" spans="1:24" x14ac:dyDescent="0.2">
      <c r="L68" s="88"/>
      <c r="M68" s="88"/>
      <c r="O68" s="88"/>
      <c r="P68" s="63"/>
    </row>
    <row r="69" spans="1:24" x14ac:dyDescent="0.2">
      <c r="L69" s="88"/>
      <c r="M69" s="88"/>
      <c r="O69" s="88"/>
      <c r="P69" s="63"/>
    </row>
    <row r="70" spans="1:24" x14ac:dyDescent="0.2">
      <c r="A70" s="126" t="s">
        <v>173</v>
      </c>
      <c r="B70" s="56"/>
      <c r="C70" s="56"/>
      <c r="D70" s="56"/>
      <c r="L70" s="88"/>
      <c r="M70" s="88"/>
      <c r="O70" s="88"/>
      <c r="P70" s="63"/>
    </row>
    <row r="71" spans="1:24" x14ac:dyDescent="0.2">
      <c r="A71" s="119" t="s">
        <v>129</v>
      </c>
      <c r="B71" s="119" t="s">
        <v>130</v>
      </c>
      <c r="C71" s="119" t="s">
        <v>130</v>
      </c>
      <c r="D71" s="119" t="s">
        <v>131</v>
      </c>
      <c r="E71" s="171" t="s">
        <v>132</v>
      </c>
      <c r="F71" s="171"/>
      <c r="G71" s="171" t="s">
        <v>133</v>
      </c>
      <c r="H71" s="171"/>
      <c r="J71" s="122"/>
      <c r="K71" s="122"/>
      <c r="L71" s="88"/>
      <c r="M71" s="88"/>
      <c r="O71" s="88"/>
      <c r="P71" s="63"/>
    </row>
    <row r="72" spans="1:24" ht="48" x14ac:dyDescent="0.2">
      <c r="A72" s="119" t="s">
        <v>134</v>
      </c>
      <c r="B72" s="119" t="s">
        <v>135</v>
      </c>
      <c r="C72" s="119" t="s">
        <v>136</v>
      </c>
      <c r="D72" s="119" t="s">
        <v>137</v>
      </c>
      <c r="E72" s="128" t="s">
        <v>176</v>
      </c>
      <c r="F72" s="128" t="s">
        <v>177</v>
      </c>
      <c r="G72" s="128" t="s">
        <v>176</v>
      </c>
      <c r="H72" s="128" t="s">
        <v>177</v>
      </c>
      <c r="J72"/>
      <c r="K72"/>
      <c r="L72"/>
      <c r="P72" s="76"/>
    </row>
    <row r="73" spans="1:24" x14ac:dyDescent="0.2">
      <c r="A73" t="s">
        <v>138</v>
      </c>
      <c r="B73">
        <v>640</v>
      </c>
      <c r="C73">
        <v>552</v>
      </c>
      <c r="D73" s="123">
        <v>53267.9</v>
      </c>
      <c r="E73" s="123">
        <v>53267.9</v>
      </c>
      <c r="F73"/>
      <c r="G73">
        <v>552</v>
      </c>
      <c r="H73"/>
      <c r="J73"/>
      <c r="K73"/>
      <c r="L73"/>
    </row>
    <row r="74" spans="1:24" x14ac:dyDescent="0.2">
      <c r="A74" t="s">
        <v>139</v>
      </c>
      <c r="B74">
        <v>1409</v>
      </c>
      <c r="C74">
        <v>1205</v>
      </c>
      <c r="D74" s="123">
        <v>51767.8</v>
      </c>
      <c r="E74" s="123">
        <v>51767.8</v>
      </c>
      <c r="F74"/>
      <c r="G74">
        <v>1205</v>
      </c>
      <c r="H74"/>
      <c r="J74"/>
      <c r="K74"/>
      <c r="L74"/>
    </row>
    <row r="75" spans="1:24" x14ac:dyDescent="0.2">
      <c r="A75" t="s">
        <v>140</v>
      </c>
      <c r="B75">
        <v>1646</v>
      </c>
      <c r="C75">
        <v>1299</v>
      </c>
      <c r="D75" s="123">
        <v>11635</v>
      </c>
      <c r="E75"/>
      <c r="F75" s="123">
        <v>11635</v>
      </c>
      <c r="G75"/>
      <c r="H75">
        <v>1299</v>
      </c>
      <c r="J75"/>
      <c r="K75"/>
      <c r="L75"/>
    </row>
    <row r="76" spans="1:24" x14ac:dyDescent="0.2">
      <c r="A76" t="s">
        <v>141</v>
      </c>
      <c r="B76">
        <v>614</v>
      </c>
      <c r="C76">
        <v>498</v>
      </c>
      <c r="D76" s="123">
        <v>17398.8</v>
      </c>
      <c r="E76"/>
      <c r="F76" s="123">
        <v>17398.8</v>
      </c>
      <c r="G76"/>
      <c r="H76">
        <v>498</v>
      </c>
      <c r="J76"/>
      <c r="K76"/>
      <c r="L76"/>
    </row>
    <row r="77" spans="1:24" x14ac:dyDescent="0.2">
      <c r="A77" t="s">
        <v>142</v>
      </c>
      <c r="B77">
        <v>140</v>
      </c>
      <c r="C77">
        <v>121</v>
      </c>
      <c r="D77" s="123">
        <v>30798.5</v>
      </c>
      <c r="F77" s="123">
        <v>30798.5</v>
      </c>
      <c r="H77">
        <v>121</v>
      </c>
      <c r="J77"/>
      <c r="K77"/>
      <c r="L77"/>
    </row>
    <row r="78" spans="1:24" x14ac:dyDescent="0.2">
      <c r="A78" t="s">
        <v>143</v>
      </c>
      <c r="B78">
        <v>1139</v>
      </c>
      <c r="C78">
        <v>921</v>
      </c>
      <c r="D78" s="123">
        <v>26378.5</v>
      </c>
      <c r="E78"/>
      <c r="F78" s="123">
        <v>26378.5</v>
      </c>
      <c r="G78"/>
      <c r="H78">
        <v>921</v>
      </c>
      <c r="J78"/>
      <c r="K78"/>
      <c r="L78"/>
    </row>
    <row r="79" spans="1:24" x14ac:dyDescent="0.2">
      <c r="A79" t="s">
        <v>144</v>
      </c>
      <c r="B79">
        <v>488</v>
      </c>
      <c r="C79">
        <v>395</v>
      </c>
      <c r="D79" s="123">
        <v>67803</v>
      </c>
      <c r="E79" s="123">
        <v>67803</v>
      </c>
      <c r="F79"/>
      <c r="G79">
        <v>395</v>
      </c>
      <c r="H79"/>
      <c r="J79"/>
      <c r="K79"/>
      <c r="L79"/>
    </row>
    <row r="80" spans="1:24" x14ac:dyDescent="0.2">
      <c r="A80" t="s">
        <v>145</v>
      </c>
      <c r="B80">
        <v>130</v>
      </c>
      <c r="C80">
        <v>97</v>
      </c>
      <c r="D80" s="124">
        <v>27280.7</v>
      </c>
      <c r="E80"/>
      <c r="F80" s="124">
        <v>27280.7</v>
      </c>
      <c r="G80"/>
      <c r="H80">
        <v>97</v>
      </c>
      <c r="J80"/>
      <c r="K80"/>
      <c r="L80"/>
    </row>
    <row r="81" spans="1:16" x14ac:dyDescent="0.2">
      <c r="A81" t="s">
        <v>146</v>
      </c>
      <c r="B81">
        <v>349</v>
      </c>
      <c r="C81">
        <v>281</v>
      </c>
      <c r="D81" s="123">
        <v>53982.6</v>
      </c>
      <c r="E81" s="123">
        <v>53982.6</v>
      </c>
      <c r="F81"/>
      <c r="G81">
        <v>281</v>
      </c>
      <c r="H81"/>
      <c r="J81"/>
      <c r="K81"/>
      <c r="L81"/>
    </row>
    <row r="82" spans="1:16" x14ac:dyDescent="0.2">
      <c r="A82" t="s">
        <v>147</v>
      </c>
      <c r="B82">
        <v>7155</v>
      </c>
      <c r="C82">
        <v>6175</v>
      </c>
      <c r="D82" s="123">
        <v>43518.5</v>
      </c>
      <c r="E82" s="123">
        <v>43518.5</v>
      </c>
      <c r="F82"/>
      <c r="G82">
        <v>6175</v>
      </c>
      <c r="H82"/>
      <c r="J82"/>
      <c r="K82"/>
      <c r="L82"/>
    </row>
    <row r="83" spans="1:16" x14ac:dyDescent="0.2">
      <c r="A83" t="s">
        <v>148</v>
      </c>
      <c r="B83">
        <v>9648</v>
      </c>
      <c r="C83">
        <v>8322</v>
      </c>
      <c r="D83" s="123">
        <v>50801.8</v>
      </c>
      <c r="E83" s="123">
        <v>50801.8</v>
      </c>
      <c r="F83"/>
      <c r="G83">
        <v>8322</v>
      </c>
      <c r="H83"/>
      <c r="J83"/>
      <c r="K83"/>
      <c r="L83"/>
    </row>
    <row r="84" spans="1:16" x14ac:dyDescent="0.2">
      <c r="A84" t="s">
        <v>149</v>
      </c>
      <c r="B84">
        <v>1991</v>
      </c>
      <c r="C84">
        <v>1731</v>
      </c>
      <c r="D84" s="123">
        <v>20276.5</v>
      </c>
      <c r="E84"/>
      <c r="F84" s="123">
        <v>20276.5</v>
      </c>
      <c r="G84"/>
      <c r="H84">
        <v>1731</v>
      </c>
      <c r="J84"/>
      <c r="K84"/>
      <c r="L84"/>
    </row>
    <row r="85" spans="1:16" x14ac:dyDescent="0.2">
      <c r="A85" t="s">
        <v>150</v>
      </c>
      <c r="B85">
        <v>1552</v>
      </c>
      <c r="C85">
        <v>1315</v>
      </c>
      <c r="D85" s="123">
        <v>18772.7</v>
      </c>
      <c r="E85"/>
      <c r="F85" s="123">
        <v>18772.7</v>
      </c>
      <c r="G85"/>
      <c r="H85">
        <v>1315</v>
      </c>
      <c r="J85"/>
      <c r="K85"/>
      <c r="L85"/>
    </row>
    <row r="86" spans="1:16" x14ac:dyDescent="0.2">
      <c r="A86" t="s">
        <v>152</v>
      </c>
      <c r="B86">
        <v>378</v>
      </c>
      <c r="C86">
        <v>322</v>
      </c>
      <c r="D86" s="123">
        <v>99152.1</v>
      </c>
      <c r="E86" s="123">
        <v>99152.1</v>
      </c>
      <c r="F86"/>
      <c r="G86">
        <v>322</v>
      </c>
      <c r="H86"/>
      <c r="J86"/>
      <c r="K86"/>
      <c r="L86"/>
    </row>
    <row r="87" spans="1:16" x14ac:dyDescent="0.2">
      <c r="A87" t="s">
        <v>153</v>
      </c>
      <c r="B87">
        <v>8783</v>
      </c>
      <c r="C87">
        <v>7601</v>
      </c>
      <c r="D87" s="123">
        <v>35551.300000000003</v>
      </c>
      <c r="F87" s="123">
        <v>35551.300000000003</v>
      </c>
      <c r="H87">
        <v>7601</v>
      </c>
      <c r="J87"/>
      <c r="K87"/>
      <c r="L87"/>
    </row>
    <row r="88" spans="1:16" x14ac:dyDescent="0.2">
      <c r="A88" t="s">
        <v>154</v>
      </c>
      <c r="B88">
        <v>286</v>
      </c>
      <c r="C88">
        <v>226</v>
      </c>
      <c r="D88" s="123">
        <v>20642.2</v>
      </c>
      <c r="E88"/>
      <c r="F88" s="123">
        <v>20642.2</v>
      </c>
      <c r="G88"/>
      <c r="H88">
        <v>226</v>
      </c>
      <c r="J88"/>
      <c r="K88"/>
      <c r="L88"/>
    </row>
    <row r="89" spans="1:16" x14ac:dyDescent="0.2">
      <c r="A89" t="s">
        <v>155</v>
      </c>
      <c r="B89">
        <v>432</v>
      </c>
      <c r="C89">
        <v>343</v>
      </c>
      <c r="D89" s="123">
        <v>23433.4</v>
      </c>
      <c r="E89"/>
      <c r="F89" s="123">
        <v>23433.4</v>
      </c>
      <c r="G89"/>
      <c r="H89">
        <v>343</v>
      </c>
      <c r="J89"/>
      <c r="K89"/>
      <c r="L89"/>
      <c r="M89" s="122"/>
      <c r="N89" s="122"/>
      <c r="O89" s="122"/>
      <c r="P89" s="122"/>
    </row>
    <row r="90" spans="1:16" x14ac:dyDescent="0.2">
      <c r="A90" t="s">
        <v>156</v>
      </c>
      <c r="B90">
        <v>45</v>
      </c>
      <c r="C90">
        <v>38</v>
      </c>
      <c r="D90" s="123">
        <v>135682.79999999999</v>
      </c>
      <c r="E90" s="123">
        <v>135682.79999999999</v>
      </c>
      <c r="G90">
        <v>38</v>
      </c>
      <c r="H90"/>
      <c r="J90"/>
      <c r="K90"/>
      <c r="L90"/>
      <c r="M90" s="122"/>
      <c r="N90" s="122"/>
      <c r="O90" s="122"/>
      <c r="P90" s="122"/>
    </row>
    <row r="91" spans="1:16" x14ac:dyDescent="0.2">
      <c r="A91" t="s">
        <v>157</v>
      </c>
      <c r="B91">
        <v>53</v>
      </c>
      <c r="C91">
        <v>45</v>
      </c>
      <c r="D91" s="123">
        <v>33257.4</v>
      </c>
      <c r="F91" s="123">
        <v>33257.4</v>
      </c>
      <c r="H91">
        <v>45</v>
      </c>
      <c r="J91"/>
      <c r="K91"/>
      <c r="L91"/>
      <c r="M91"/>
      <c r="N91"/>
      <c r="O91"/>
      <c r="P91"/>
    </row>
    <row r="92" spans="1:16" x14ac:dyDescent="0.2">
      <c r="A92" t="s">
        <v>158</v>
      </c>
      <c r="B92">
        <v>6</v>
      </c>
      <c r="C92">
        <v>5</v>
      </c>
      <c r="D92" s="123"/>
      <c r="E92"/>
      <c r="F92" s="123"/>
      <c r="G92">
        <v>5</v>
      </c>
      <c r="H92"/>
      <c r="J92"/>
      <c r="K92"/>
      <c r="L92"/>
      <c r="M92"/>
      <c r="N92"/>
      <c r="O92"/>
      <c r="P92"/>
    </row>
    <row r="93" spans="1:16" x14ac:dyDescent="0.2">
      <c r="A93" t="s">
        <v>159</v>
      </c>
      <c r="B93">
        <v>1406</v>
      </c>
      <c r="C93">
        <v>1177</v>
      </c>
      <c r="D93" s="123">
        <v>58061</v>
      </c>
      <c r="E93" s="123">
        <v>58061</v>
      </c>
      <c r="G93">
        <v>1177</v>
      </c>
      <c r="H93"/>
      <c r="J93"/>
      <c r="K93"/>
      <c r="L93"/>
      <c r="M93"/>
      <c r="N93"/>
      <c r="O93"/>
      <c r="P93"/>
    </row>
    <row r="94" spans="1:16" x14ac:dyDescent="0.2">
      <c r="A94" t="s">
        <v>160</v>
      </c>
      <c r="B94">
        <v>5622</v>
      </c>
      <c r="C94">
        <v>4450</v>
      </c>
      <c r="D94" s="124">
        <v>17840.900000000001</v>
      </c>
      <c r="E94"/>
      <c r="F94" s="124">
        <v>17840.900000000001</v>
      </c>
      <c r="G94"/>
      <c r="H94">
        <v>4450</v>
      </c>
      <c r="J94"/>
      <c r="K94"/>
      <c r="L94"/>
      <c r="M94"/>
      <c r="N94"/>
      <c r="O94"/>
      <c r="P94"/>
    </row>
    <row r="95" spans="1:16" x14ac:dyDescent="0.2">
      <c r="A95" t="s">
        <v>161</v>
      </c>
      <c r="B95">
        <v>2226</v>
      </c>
      <c r="C95">
        <v>1924</v>
      </c>
      <c r="D95" s="123">
        <v>24262.2</v>
      </c>
      <c r="E95"/>
      <c r="F95" s="123">
        <v>24262.2</v>
      </c>
      <c r="G95"/>
      <c r="H95">
        <v>1924</v>
      </c>
      <c r="J95"/>
      <c r="K95"/>
      <c r="L95"/>
      <c r="M95"/>
      <c r="N95"/>
      <c r="O95"/>
      <c r="P95"/>
    </row>
    <row r="96" spans="1:16" x14ac:dyDescent="0.2">
      <c r="A96" t="s">
        <v>162</v>
      </c>
      <c r="B96">
        <v>4289</v>
      </c>
      <c r="C96">
        <v>3548</v>
      </c>
      <c r="D96" s="123">
        <v>14861.9</v>
      </c>
      <c r="E96"/>
      <c r="F96" s="123">
        <v>14861.9</v>
      </c>
      <c r="G96"/>
      <c r="H96">
        <v>3548</v>
      </c>
      <c r="J96"/>
      <c r="K96"/>
      <c r="L96"/>
      <c r="M96"/>
      <c r="N96"/>
      <c r="O96"/>
      <c r="P96"/>
    </row>
    <row r="97" spans="1:16" x14ac:dyDescent="0.2">
      <c r="A97" t="s">
        <v>163</v>
      </c>
      <c r="B97">
        <v>814</v>
      </c>
      <c r="C97">
        <v>698</v>
      </c>
      <c r="D97" s="123">
        <v>21087.8</v>
      </c>
      <c r="E97"/>
      <c r="F97" s="123">
        <v>21087.8</v>
      </c>
      <c r="G97"/>
      <c r="H97">
        <v>698</v>
      </c>
      <c r="J97"/>
      <c r="K97"/>
      <c r="L97"/>
      <c r="M97"/>
      <c r="N97"/>
      <c r="O97"/>
      <c r="P97"/>
    </row>
    <row r="98" spans="1:16" x14ac:dyDescent="0.2">
      <c r="A98" t="s">
        <v>164</v>
      </c>
      <c r="B98">
        <v>216</v>
      </c>
      <c r="C98">
        <v>176</v>
      </c>
      <c r="D98" s="123">
        <v>29200.799999999999</v>
      </c>
      <c r="E98"/>
      <c r="F98" s="123">
        <v>29200.799999999999</v>
      </c>
      <c r="G98"/>
      <c r="H98">
        <v>176</v>
      </c>
      <c r="J98"/>
      <c r="K98"/>
      <c r="L98"/>
      <c r="M98"/>
      <c r="N98"/>
      <c r="O98"/>
      <c r="P98"/>
    </row>
    <row r="99" spans="1:16" x14ac:dyDescent="0.2">
      <c r="A99" t="s">
        <v>165</v>
      </c>
      <c r="B99">
        <v>3</v>
      </c>
      <c r="C99">
        <v>3</v>
      </c>
      <c r="D99" s="123"/>
      <c r="E99"/>
      <c r="F99" s="123"/>
      <c r="G99">
        <v>3</v>
      </c>
      <c r="H99"/>
      <c r="J99"/>
      <c r="K99"/>
      <c r="L99"/>
      <c r="M99"/>
      <c r="N99"/>
      <c r="O99"/>
      <c r="P99"/>
    </row>
    <row r="100" spans="1:16" x14ac:dyDescent="0.2">
      <c r="A100" t="s">
        <v>166</v>
      </c>
      <c r="B100">
        <v>6220</v>
      </c>
      <c r="C100">
        <v>5230</v>
      </c>
      <c r="D100" s="123">
        <v>30115.7</v>
      </c>
      <c r="F100" s="123">
        <v>30115.7</v>
      </c>
      <c r="H100">
        <v>5230</v>
      </c>
      <c r="J100"/>
      <c r="K100"/>
      <c r="L100"/>
      <c r="M100"/>
      <c r="N100"/>
      <c r="O100"/>
      <c r="P100"/>
    </row>
    <row r="101" spans="1:16" x14ac:dyDescent="0.2">
      <c r="A101" t="s">
        <v>151</v>
      </c>
      <c r="B101">
        <v>581</v>
      </c>
      <c r="C101">
        <v>484</v>
      </c>
      <c r="D101" s="124">
        <v>60239</v>
      </c>
      <c r="E101" s="124">
        <v>60239</v>
      </c>
      <c r="F101" s="124"/>
      <c r="G101">
        <v>484</v>
      </c>
      <c r="H101"/>
      <c r="J101"/>
      <c r="K101"/>
      <c r="L101"/>
      <c r="M101"/>
      <c r="N101"/>
      <c r="O101"/>
      <c r="P101"/>
    </row>
    <row r="102" spans="1:16" x14ac:dyDescent="0.2">
      <c r="A102"/>
      <c r="B102"/>
      <c r="C102"/>
      <c r="D102"/>
      <c r="E102"/>
      <c r="F102"/>
      <c r="G102"/>
      <c r="H102"/>
      <c r="J102"/>
      <c r="K102"/>
      <c r="L102"/>
      <c r="M102"/>
      <c r="N102"/>
      <c r="O102"/>
      <c r="P102"/>
    </row>
    <row r="103" spans="1:16" x14ac:dyDescent="0.2">
      <c r="A103" s="120" t="s">
        <v>89</v>
      </c>
      <c r="B103" s="120">
        <f>SUM(B73:B101)</f>
        <v>58261</v>
      </c>
      <c r="C103" s="120">
        <f>SUM(C73:C101)</f>
        <v>49182</v>
      </c>
      <c r="D103"/>
      <c r="E103"/>
      <c r="F103" s="3"/>
      <c r="G103" s="120">
        <f>SUM(G73:G101)</f>
        <v>18959</v>
      </c>
      <c r="H103" s="120">
        <f>SUM(H73:H101)</f>
        <v>30223</v>
      </c>
      <c r="J103"/>
      <c r="K103"/>
      <c r="L103"/>
      <c r="M103"/>
      <c r="N103"/>
      <c r="O103"/>
      <c r="P103"/>
    </row>
    <row r="104" spans="1:16" x14ac:dyDescent="0.2">
      <c r="A104"/>
      <c r="B104"/>
      <c r="C104"/>
      <c r="D104"/>
      <c r="E104" s="123"/>
      <c r="F104" s="123"/>
      <c r="G104" s="123"/>
      <c r="H104"/>
      <c r="I104"/>
      <c r="J104"/>
      <c r="K104"/>
      <c r="L104"/>
      <c r="M104"/>
      <c r="N104"/>
      <c r="O104"/>
      <c r="P104"/>
    </row>
    <row r="105" spans="1:16" x14ac:dyDescent="0.2">
      <c r="A105" t="s">
        <v>175</v>
      </c>
      <c r="B105">
        <f>(E101+F94)/2</f>
        <v>39039.949999999997</v>
      </c>
      <c r="C105"/>
      <c r="D105"/>
      <c r="E105" s="123"/>
      <c r="F105" s="123"/>
      <c r="G105" s="123"/>
      <c r="H105"/>
      <c r="I105"/>
      <c r="J105"/>
      <c r="K105"/>
      <c r="L105"/>
      <c r="M105"/>
      <c r="N105"/>
      <c r="O105"/>
      <c r="P105"/>
    </row>
    <row r="106" spans="1:16" x14ac:dyDescent="0.2">
      <c r="A106"/>
      <c r="B106"/>
      <c r="C106"/>
      <c r="D106"/>
      <c r="E106" s="123"/>
      <c r="F106"/>
      <c r="G106"/>
      <c r="H106" s="123"/>
      <c r="I106"/>
      <c r="J106"/>
      <c r="K106"/>
      <c r="L106"/>
      <c r="M106"/>
      <c r="N106"/>
      <c r="O106"/>
      <c r="P106"/>
    </row>
    <row r="107" spans="1:16" x14ac:dyDescent="0.2">
      <c r="A107"/>
      <c r="B107"/>
      <c r="C107"/>
      <c r="D107"/>
      <c r="E107" s="123"/>
      <c r="F107"/>
      <c r="G107"/>
      <c r="H107" s="123"/>
      <c r="I107"/>
      <c r="J107"/>
      <c r="K107"/>
      <c r="L107"/>
      <c r="M107"/>
      <c r="N107"/>
      <c r="O107"/>
      <c r="P107"/>
    </row>
    <row r="108" spans="1:16" x14ac:dyDescent="0.2">
      <c r="A108"/>
      <c r="B108"/>
      <c r="C108"/>
      <c r="D108"/>
      <c r="E108" s="123"/>
      <c r="F108"/>
      <c r="G108"/>
      <c r="H108" s="123"/>
      <c r="I108"/>
      <c r="J108"/>
      <c r="K108"/>
      <c r="L108"/>
      <c r="M108"/>
      <c r="N108"/>
      <c r="O108"/>
      <c r="P108"/>
    </row>
    <row r="109" spans="1:16" x14ac:dyDescent="0.2">
      <c r="A109"/>
      <c r="B109"/>
      <c r="C109"/>
      <c r="D109"/>
      <c r="E109" s="123"/>
      <c r="F109"/>
      <c r="G109"/>
      <c r="H109" s="123"/>
      <c r="I109"/>
      <c r="J109"/>
      <c r="K109"/>
      <c r="L109"/>
      <c r="M109"/>
      <c r="N109"/>
      <c r="O109"/>
      <c r="P109"/>
    </row>
    <row r="110" spans="1:16" x14ac:dyDescent="0.2">
      <c r="A110"/>
      <c r="B110"/>
      <c r="C110"/>
      <c r="D110"/>
      <c r="E110" s="123"/>
      <c r="F110"/>
      <c r="G110"/>
      <c r="H110" s="123"/>
      <c r="I110"/>
      <c r="J110"/>
      <c r="K110"/>
      <c r="L110"/>
      <c r="M110"/>
      <c r="N110"/>
      <c r="O110"/>
      <c r="P110"/>
    </row>
    <row r="111" spans="1:16" x14ac:dyDescent="0.2">
      <c r="A111"/>
      <c r="B111"/>
      <c r="C111"/>
      <c r="D111"/>
      <c r="E111" s="123"/>
      <c r="F111"/>
      <c r="G111"/>
      <c r="H111" s="123"/>
      <c r="I111"/>
      <c r="J111"/>
      <c r="K111"/>
      <c r="L111"/>
      <c r="M111"/>
      <c r="N111"/>
      <c r="O111"/>
      <c r="P111"/>
    </row>
    <row r="112" spans="1:16" x14ac:dyDescent="0.2">
      <c r="A112"/>
      <c r="B112"/>
      <c r="C112"/>
      <c r="D112"/>
      <c r="E112" s="124"/>
      <c r="F112"/>
      <c r="G112"/>
      <c r="H112" s="124"/>
      <c r="I112"/>
      <c r="J112"/>
      <c r="K112"/>
      <c r="L112"/>
      <c r="M112"/>
      <c r="N112"/>
      <c r="O112"/>
      <c r="P112"/>
    </row>
    <row r="113" spans="1:16" x14ac:dyDescent="0.2">
      <c r="A113"/>
      <c r="B113"/>
      <c r="C113"/>
      <c r="D113"/>
      <c r="E113" s="123"/>
      <c r="F113"/>
      <c r="G113"/>
      <c r="H113" s="123"/>
      <c r="I113"/>
      <c r="J113"/>
      <c r="K113"/>
      <c r="L113"/>
      <c r="M113"/>
      <c r="N113"/>
      <c r="O113"/>
      <c r="P113"/>
    </row>
    <row r="114" spans="1:16" x14ac:dyDescent="0.2">
      <c r="A114"/>
      <c r="B114"/>
      <c r="C114"/>
      <c r="D114"/>
      <c r="E114" s="123"/>
      <c r="F114"/>
      <c r="G114"/>
      <c r="H114" s="123"/>
      <c r="I114"/>
      <c r="J114"/>
      <c r="K114"/>
      <c r="L114"/>
      <c r="M114"/>
      <c r="N114"/>
      <c r="O114"/>
      <c r="P114"/>
    </row>
    <row r="115" spans="1:16" x14ac:dyDescent="0.2">
      <c r="A115"/>
      <c r="B115"/>
      <c r="C115"/>
      <c r="D115"/>
      <c r="E115" s="123"/>
      <c r="F115"/>
      <c r="G115"/>
      <c r="H115" s="123"/>
      <c r="I115"/>
      <c r="J115"/>
      <c r="K115"/>
      <c r="L115"/>
      <c r="M115"/>
      <c r="N115"/>
      <c r="O115"/>
      <c r="P115"/>
    </row>
    <row r="116" spans="1:16" x14ac:dyDescent="0.2">
      <c r="A116"/>
      <c r="B116"/>
      <c r="C116"/>
      <c r="D116"/>
      <c r="E116" s="123"/>
      <c r="F116"/>
      <c r="G116"/>
      <c r="H116" s="123"/>
      <c r="I116"/>
      <c r="J116"/>
      <c r="K116"/>
      <c r="L116"/>
      <c r="M116"/>
      <c r="N116"/>
      <c r="O116"/>
      <c r="P116"/>
    </row>
    <row r="117" spans="1:16" x14ac:dyDescent="0.2">
      <c r="A117"/>
      <c r="B117"/>
      <c r="C117"/>
      <c r="D117"/>
      <c r="E117" s="123"/>
      <c r="F117"/>
      <c r="G117"/>
      <c r="H117" s="123"/>
      <c r="I117"/>
      <c r="J117"/>
      <c r="K117"/>
      <c r="L117"/>
      <c r="M117"/>
      <c r="N117"/>
      <c r="O117"/>
      <c r="P117"/>
    </row>
    <row r="118" spans="1:16" x14ac:dyDescent="0.2">
      <c r="A118"/>
      <c r="B118"/>
      <c r="C118"/>
      <c r="D118"/>
      <c r="E118" s="123"/>
      <c r="F118"/>
      <c r="G118"/>
      <c r="H118" s="123"/>
      <c r="I118"/>
      <c r="J118"/>
      <c r="K118"/>
      <c r="L118"/>
      <c r="M118"/>
      <c r="N118"/>
      <c r="O118"/>
      <c r="P118"/>
    </row>
    <row r="119" spans="1:16" x14ac:dyDescent="0.2">
      <c r="A119"/>
      <c r="B119"/>
      <c r="C119"/>
      <c r="D119"/>
      <c r="E119" s="124"/>
      <c r="F119"/>
      <c r="G119"/>
      <c r="H119" s="124"/>
      <c r="I119"/>
      <c r="J119"/>
      <c r="K119"/>
      <c r="L119"/>
      <c r="M119"/>
      <c r="N119"/>
      <c r="O119"/>
      <c r="P119"/>
    </row>
    <row r="120" spans="1:16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2">
      <c r="A121"/>
      <c r="B121" s="120"/>
      <c r="C121" s="120"/>
      <c r="D121" s="120"/>
      <c r="E121"/>
      <c r="F121"/>
      <c r="G121"/>
      <c r="H121"/>
      <c r="I121" s="120"/>
      <c r="J121" s="120">
        <f>SUM(J91:J119)</f>
        <v>0</v>
      </c>
      <c r="K121"/>
      <c r="L121"/>
      <c r="M121"/>
      <c r="N121"/>
      <c r="O121"/>
      <c r="P121"/>
    </row>
  </sheetData>
  <mergeCells count="2">
    <mergeCell ref="G71:H71"/>
    <mergeCell ref="E71:F7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1DBD-FFC1-6140-BCDC-E3EB8C7C5BC7}">
  <dimension ref="A1:U72"/>
  <sheetViews>
    <sheetView tabSelected="1" workbookViewId="0">
      <selection activeCell="B51" sqref="B51"/>
    </sheetView>
  </sheetViews>
  <sheetFormatPr baseColWidth="10" defaultColWidth="8.83203125" defaultRowHeight="15" x14ac:dyDescent="0.2"/>
  <cols>
    <col min="1" max="1" width="61.33203125" customWidth="1"/>
    <col min="2" max="2" width="20.5" style="2" bestFit="1" customWidth="1"/>
    <col min="3" max="4" width="20.5" style="32" customWidth="1"/>
    <col min="6" max="6" width="35.33203125" customWidth="1"/>
    <col min="7" max="7" width="20.83203125" style="29" bestFit="1" customWidth="1"/>
    <col min="8" max="8" width="8.6640625" customWidth="1"/>
    <col min="9" max="9" width="15.33203125" customWidth="1"/>
    <col min="10" max="10" width="8.5" customWidth="1"/>
    <col min="11" max="11" width="15.83203125" bestFit="1" customWidth="1"/>
    <col min="13" max="13" width="15.5" bestFit="1" customWidth="1"/>
    <col min="14" max="14" width="15.5" customWidth="1"/>
    <col min="15" max="15" width="19.5" bestFit="1" customWidth="1"/>
    <col min="16" max="16" width="27.33203125" bestFit="1" customWidth="1"/>
    <col min="17" max="17" width="29.1640625" bestFit="1" customWidth="1"/>
    <col min="18" max="19" width="29.1640625" customWidth="1"/>
    <col min="20" max="21" width="17" bestFit="1" customWidth="1"/>
  </cols>
  <sheetData>
    <row r="1" spans="1:21" ht="16" thickBot="1" x14ac:dyDescent="0.25">
      <c r="A1" s="36" t="s">
        <v>0</v>
      </c>
      <c r="B1" s="41"/>
      <c r="F1" s="38" t="s">
        <v>204</v>
      </c>
      <c r="G1" s="20"/>
      <c r="H1" s="5"/>
      <c r="I1" s="39" t="s">
        <v>17</v>
      </c>
      <c r="J1" s="6"/>
      <c r="K1" s="5"/>
      <c r="L1" s="39" t="s">
        <v>18</v>
      </c>
      <c r="M1" s="39"/>
      <c r="N1" s="39"/>
      <c r="O1" s="5"/>
      <c r="P1" s="5"/>
      <c r="Q1" s="5"/>
      <c r="R1" s="5"/>
      <c r="S1" s="5"/>
      <c r="T1" s="5"/>
      <c r="U1" s="7"/>
    </row>
    <row r="2" spans="1:21" x14ac:dyDescent="0.2">
      <c r="A2" s="36" t="s">
        <v>13</v>
      </c>
      <c r="B2" s="37" t="s">
        <v>1</v>
      </c>
      <c r="F2" s="47" t="s">
        <v>43</v>
      </c>
      <c r="G2" s="21">
        <v>10</v>
      </c>
      <c r="H2" s="8"/>
      <c r="I2" s="40" t="s">
        <v>16</v>
      </c>
      <c r="J2" s="40" t="s">
        <v>52</v>
      </c>
      <c r="K2" s="8"/>
      <c r="L2" s="40" t="s">
        <v>16</v>
      </c>
      <c r="M2" s="44" t="s">
        <v>44</v>
      </c>
      <c r="N2" s="44" t="s">
        <v>19</v>
      </c>
      <c r="O2" s="44" t="s">
        <v>26</v>
      </c>
      <c r="P2" s="44" t="s">
        <v>27</v>
      </c>
      <c r="Q2" s="44" t="s">
        <v>28</v>
      </c>
      <c r="R2" s="44" t="s">
        <v>38</v>
      </c>
      <c r="S2" s="44" t="s">
        <v>40</v>
      </c>
      <c r="T2" s="9" t="s">
        <v>30</v>
      </c>
      <c r="U2" s="10" t="s">
        <v>31</v>
      </c>
    </row>
    <row r="3" spans="1:21" x14ac:dyDescent="0.2">
      <c r="A3" t="s">
        <v>2</v>
      </c>
      <c r="B3" s="1">
        <v>4500000000</v>
      </c>
      <c r="C3" s="33"/>
      <c r="D3" s="33"/>
      <c r="F3" s="42" t="s">
        <v>12</v>
      </c>
      <c r="G3" s="22"/>
      <c r="H3" s="8"/>
      <c r="I3" s="8">
        <v>1</v>
      </c>
      <c r="J3" s="8">
        <f>B$6*(B$10^I3)</f>
        <v>6545.34</v>
      </c>
      <c r="K3" s="8"/>
      <c r="L3" s="8">
        <v>1</v>
      </c>
      <c r="M3" s="8">
        <v>0</v>
      </c>
      <c r="N3" s="8">
        <f>J3*SUM(M$3:M3)*B$5</f>
        <v>0</v>
      </c>
      <c r="O3" s="8">
        <f t="shared" ref="O3:O32" si="0">B$19*N3</f>
        <v>0</v>
      </c>
      <c r="P3" s="11">
        <f t="shared" ref="P3:P32" si="1">O3*B$8</f>
        <v>0</v>
      </c>
      <c r="Q3" s="11">
        <f t="shared" ref="Q3:Q32" si="2">P3*(B$17^L3)</f>
        <v>0</v>
      </c>
      <c r="R3" s="11">
        <f t="shared" ref="R3:R32" si="3">N3*B$16</f>
        <v>0</v>
      </c>
      <c r="S3" s="11">
        <f t="shared" ref="S3:S32" si="4">R3*(B$18^L3)</f>
        <v>0</v>
      </c>
      <c r="T3" s="11">
        <f t="shared" ref="T3:T12" si="5">B$5*L3*(B$3/10)*B$4</f>
        <v>17153953.395737898</v>
      </c>
      <c r="U3" s="12">
        <f t="shared" ref="U3:U32" si="6">T3*(B$18^L3)</f>
        <v>16573868.0152057</v>
      </c>
    </row>
    <row r="4" spans="1:21" x14ac:dyDescent="0.2">
      <c r="A4" t="s">
        <v>182</v>
      </c>
      <c r="B4" s="2">
        <f>'Fair Share Calculation'!C4</f>
        <v>6.3533160724955171E-2</v>
      </c>
      <c r="F4" s="42" t="s">
        <v>13</v>
      </c>
      <c r="G4" s="43" t="s">
        <v>1</v>
      </c>
      <c r="H4" s="8"/>
      <c r="I4" s="8">
        <v>2</v>
      </c>
      <c r="J4" s="8">
        <f>B$6*(B$10^I4)</f>
        <v>6676.2467999999999</v>
      </c>
      <c r="K4" s="8"/>
      <c r="L4" s="8">
        <v>2</v>
      </c>
      <c r="M4" s="8">
        <v>0</v>
      </c>
      <c r="N4" s="8">
        <f>J4*SUM(M$3:M4)*B$5</f>
        <v>0</v>
      </c>
      <c r="O4" s="8">
        <f t="shared" si="0"/>
        <v>0</v>
      </c>
      <c r="P4" s="11">
        <f t="shared" si="1"/>
        <v>0</v>
      </c>
      <c r="Q4" s="11">
        <f t="shared" si="2"/>
        <v>0</v>
      </c>
      <c r="R4" s="11">
        <f t="shared" si="3"/>
        <v>0</v>
      </c>
      <c r="S4" s="11">
        <f t="shared" si="4"/>
        <v>0</v>
      </c>
      <c r="T4" s="11">
        <f t="shared" si="5"/>
        <v>34307906.791475795</v>
      </c>
      <c r="U4" s="12">
        <f t="shared" si="6"/>
        <v>32026798.097015847</v>
      </c>
    </row>
    <row r="5" spans="1:21" x14ac:dyDescent="0.2">
      <c r="A5" t="s">
        <v>42</v>
      </c>
      <c r="B5" s="2">
        <v>0.6</v>
      </c>
      <c r="C5" s="33"/>
      <c r="F5" s="13" t="s">
        <v>22</v>
      </c>
      <c r="G5" s="23">
        <f>SUM(N3:N12)</f>
        <v>4612.2380396359604</v>
      </c>
      <c r="H5" s="8"/>
      <c r="I5" s="8">
        <v>3</v>
      </c>
      <c r="J5" s="8">
        <f t="shared" ref="J5:J32" si="7">B$6*(B$10^I5)</f>
        <v>6809.7717359999997</v>
      </c>
      <c r="K5" s="8"/>
      <c r="L5" s="8">
        <v>3</v>
      </c>
      <c r="M5" s="8">
        <v>0</v>
      </c>
      <c r="N5" s="8">
        <f>J5*SUM(M$3:M5)*B$5</f>
        <v>0</v>
      </c>
      <c r="O5" s="8">
        <f t="shared" si="0"/>
        <v>0</v>
      </c>
      <c r="P5" s="11">
        <f t="shared" si="1"/>
        <v>0</v>
      </c>
      <c r="Q5" s="11">
        <f t="shared" si="2"/>
        <v>0</v>
      </c>
      <c r="R5" s="11">
        <f t="shared" si="3"/>
        <v>0</v>
      </c>
      <c r="S5" s="11">
        <f t="shared" si="4"/>
        <v>0</v>
      </c>
      <c r="T5" s="11">
        <f t="shared" si="5"/>
        <v>51461860.187213682</v>
      </c>
      <c r="U5" s="12">
        <f t="shared" si="6"/>
        <v>46415649.415964991</v>
      </c>
    </row>
    <row r="6" spans="1:21" x14ac:dyDescent="0.2">
      <c r="A6" t="s">
        <v>183</v>
      </c>
      <c r="B6" s="147">
        <f>B50</f>
        <v>6417</v>
      </c>
      <c r="F6" s="13" t="s">
        <v>23</v>
      </c>
      <c r="G6" s="22">
        <f>G5*B$19</f>
        <v>78652.46078439054</v>
      </c>
      <c r="H6" s="8"/>
      <c r="I6" s="8">
        <v>4</v>
      </c>
      <c r="J6" s="8">
        <f t="shared" si="7"/>
        <v>6945.9671707199996</v>
      </c>
      <c r="K6" s="8"/>
      <c r="L6" s="8">
        <v>4</v>
      </c>
      <c r="M6" s="8">
        <v>0</v>
      </c>
      <c r="N6" s="8">
        <f>J6*SUM(M$3:M6)*B$5</f>
        <v>0</v>
      </c>
      <c r="O6" s="8">
        <f t="shared" si="0"/>
        <v>0</v>
      </c>
      <c r="P6" s="11">
        <f t="shared" si="1"/>
        <v>0</v>
      </c>
      <c r="Q6" s="11">
        <f t="shared" si="2"/>
        <v>0</v>
      </c>
      <c r="R6" s="11">
        <f t="shared" si="3"/>
        <v>0</v>
      </c>
      <c r="S6" s="11">
        <f t="shared" si="4"/>
        <v>0</v>
      </c>
      <c r="T6" s="11">
        <f t="shared" si="5"/>
        <v>68615813.58295159</v>
      </c>
      <c r="U6" s="12">
        <f t="shared" si="6"/>
        <v>59794717.444077298</v>
      </c>
    </row>
    <row r="7" spans="1:21" x14ac:dyDescent="0.2">
      <c r="A7" t="s">
        <v>36</v>
      </c>
      <c r="B7" s="2">
        <f>1270000*B12</f>
        <v>927100</v>
      </c>
      <c r="F7" s="13" t="s">
        <v>37</v>
      </c>
      <c r="G7" s="22">
        <f>SUM(Q3:Q12)</f>
        <v>1722844671.5684214</v>
      </c>
      <c r="H7" s="8"/>
      <c r="I7" s="8">
        <v>5</v>
      </c>
      <c r="J7" s="8">
        <f>B$6*(B$10^I7)</f>
        <v>7084.8865141344004</v>
      </c>
      <c r="K7" s="8"/>
      <c r="L7" s="8">
        <v>5</v>
      </c>
      <c r="M7" s="8">
        <f>B$14</f>
        <v>0.05</v>
      </c>
      <c r="N7" s="8">
        <f>J7*SUM(M$3:M7)*B$5</f>
        <v>212.54659542403201</v>
      </c>
      <c r="O7" s="8">
        <f t="shared" si="0"/>
        <v>3624.5555016418625</v>
      </c>
      <c r="P7" s="11">
        <f t="shared" si="1"/>
        <v>89888976.440718189</v>
      </c>
      <c r="Q7" s="11">
        <f t="shared" si="2"/>
        <v>83440370.521240965</v>
      </c>
      <c r="R7" s="11">
        <f>N7*B$16</f>
        <v>6261932.4311832022</v>
      </c>
      <c r="S7" s="11">
        <f>R7*(B$18^L7)</f>
        <v>5272379.0797374174</v>
      </c>
      <c r="T7" s="11">
        <f t="shared" si="5"/>
        <v>85769766.978689477</v>
      </c>
      <c r="U7" s="12">
        <f t="shared" si="6"/>
        <v>72215842.323764846</v>
      </c>
    </row>
    <row r="8" spans="1:21" x14ac:dyDescent="0.2">
      <c r="A8" t="s">
        <v>184</v>
      </c>
      <c r="B8" s="1">
        <f>B34</f>
        <v>24800</v>
      </c>
      <c r="C8" s="33"/>
      <c r="D8" s="33"/>
      <c r="F8" s="13" t="s">
        <v>41</v>
      </c>
      <c r="G8" s="22">
        <f>SUM(S3:S12)</f>
        <v>102072744.64591059</v>
      </c>
      <c r="H8" s="8"/>
      <c r="I8" s="8">
        <v>6</v>
      </c>
      <c r="J8" s="8">
        <f t="shared" si="7"/>
        <v>7226.5842444170885</v>
      </c>
      <c r="K8" s="8"/>
      <c r="L8" s="8">
        <v>6</v>
      </c>
      <c r="M8" s="8">
        <f>M7*$B$15</f>
        <v>4.9000000000000002E-2</v>
      </c>
      <c r="N8" s="8">
        <f>J8*SUM(M$3:M8)*B$5</f>
        <v>429.25910411837503</v>
      </c>
      <c r="O8" s="8">
        <f t="shared" si="0"/>
        <v>7320.1522911159054</v>
      </c>
      <c r="P8" s="11">
        <f t="shared" si="1"/>
        <v>181539776.81967446</v>
      </c>
      <c r="Q8" s="11">
        <f t="shared" si="2"/>
        <v>166025785.52187023</v>
      </c>
      <c r="R8" s="11">
        <f t="shared" si="3"/>
        <v>12646598.738017596</v>
      </c>
      <c r="S8" s="11">
        <f t="shared" si="4"/>
        <v>10288016.221678928</v>
      </c>
      <c r="T8" s="11">
        <f t="shared" si="5"/>
        <v>102923720.37442736</v>
      </c>
      <c r="U8" s="12">
        <f t="shared" si="6"/>
        <v>83728512.839147642</v>
      </c>
    </row>
    <row r="9" spans="1:21" x14ac:dyDescent="0.2">
      <c r="A9" t="s">
        <v>15</v>
      </c>
      <c r="B9" s="1">
        <f>18000</f>
        <v>18000</v>
      </c>
      <c r="C9" s="33"/>
      <c r="D9" s="33"/>
      <c r="F9" s="13" t="s">
        <v>39</v>
      </c>
      <c r="G9" s="22">
        <f>G7+G8</f>
        <v>1824917416.2143319</v>
      </c>
      <c r="H9" s="8"/>
      <c r="I9" s="8">
        <v>7</v>
      </c>
      <c r="J9" s="8">
        <f t="shared" si="7"/>
        <v>7371.1159293054288</v>
      </c>
      <c r="K9" s="8"/>
      <c r="L9" s="8">
        <v>7</v>
      </c>
      <c r="M9" s="8">
        <f t="shared" ref="M9:M32" si="8">M8*$B$15</f>
        <v>4.802E-2</v>
      </c>
      <c r="N9" s="8">
        <f>J9*SUM(M$3:M9)*B$5</f>
        <v>650.22087835589048</v>
      </c>
      <c r="O9" s="8">
        <f t="shared" si="0"/>
        <v>11088.211774107651</v>
      </c>
      <c r="P9" s="11">
        <f t="shared" si="1"/>
        <v>274987651.99786973</v>
      </c>
      <c r="Q9" s="11">
        <f t="shared" si="2"/>
        <v>247771241.5502201</v>
      </c>
      <c r="R9" s="11">
        <f t="shared" si="3"/>
        <v>19156454.599925391</v>
      </c>
      <c r="S9" s="11">
        <f t="shared" si="4"/>
        <v>15056800.154291326</v>
      </c>
      <c r="T9" s="11">
        <f t="shared" si="5"/>
        <v>120077673.77016528</v>
      </c>
      <c r="U9" s="12">
        <f t="shared" si="6"/>
        <v>94379966.163290456</v>
      </c>
    </row>
    <row r="10" spans="1:21" x14ac:dyDescent="0.2">
      <c r="A10" t="s">
        <v>4</v>
      </c>
      <c r="B10" s="2">
        <v>1.02</v>
      </c>
      <c r="F10" s="17"/>
      <c r="G10" s="24"/>
      <c r="H10" s="8"/>
      <c r="I10" s="8">
        <v>8</v>
      </c>
      <c r="J10" s="8">
        <f t="shared" si="7"/>
        <v>7518.538247891538</v>
      </c>
      <c r="K10" s="8"/>
      <c r="L10" s="8">
        <v>8</v>
      </c>
      <c r="M10" s="8">
        <f t="shared" si="8"/>
        <v>4.70596E-2</v>
      </c>
      <c r="N10" s="8">
        <f>J10*SUM(M$3:M10)*B$5</f>
        <v>875.51693744129443</v>
      </c>
      <c r="O10" s="8">
        <f t="shared" si="0"/>
        <v>14930.183784184368</v>
      </c>
      <c r="P10" s="11">
        <f t="shared" si="1"/>
        <v>370268557.8477723</v>
      </c>
      <c r="Q10" s="11">
        <f t="shared" si="2"/>
        <v>328691517.59521681</v>
      </c>
      <c r="R10" s="11">
        <f t="shared" si="3"/>
        <v>25794004.80951649</v>
      </c>
      <c r="S10" s="11">
        <f t="shared" si="4"/>
        <v>19588265.333444364</v>
      </c>
      <c r="T10" s="11">
        <f t="shared" si="5"/>
        <v>137231627.16590318</v>
      </c>
      <c r="U10" s="12">
        <f t="shared" si="6"/>
        <v>104215283.5481468</v>
      </c>
    </row>
    <row r="11" spans="1:21" x14ac:dyDescent="0.2">
      <c r="A11" t="s">
        <v>5</v>
      </c>
      <c r="B11" s="2">
        <v>1.02</v>
      </c>
      <c r="F11" s="42" t="s">
        <v>29</v>
      </c>
      <c r="G11" s="22"/>
      <c r="H11" s="8"/>
      <c r="I11" s="8">
        <v>9</v>
      </c>
      <c r="J11" s="8">
        <f t="shared" si="7"/>
        <v>7668.909012849369</v>
      </c>
      <c r="K11" s="8"/>
      <c r="L11" s="8">
        <v>9</v>
      </c>
      <c r="M11" s="8">
        <f t="shared" si="8"/>
        <v>4.6118408E-2</v>
      </c>
      <c r="N11" s="8">
        <f>J11*SUM(M$3:M11)*B$5</f>
        <v>1105.2340010517989</v>
      </c>
      <c r="O11" s="8">
        <f t="shared" si="0"/>
        <v>18847.547151352777</v>
      </c>
      <c r="P11" s="11">
        <f t="shared" si="1"/>
        <v>467419169.35354888</v>
      </c>
      <c r="Q11" s="11">
        <f t="shared" si="2"/>
        <v>408801178.43641669</v>
      </c>
      <c r="R11" s="11">
        <f t="shared" si="3"/>
        <v>32561804.254852366</v>
      </c>
      <c r="S11" s="11">
        <f t="shared" si="4"/>
        <v>23891604.292160738</v>
      </c>
      <c r="T11" s="11">
        <f t="shared" si="5"/>
        <v>154385580.56164104</v>
      </c>
      <c r="U11" s="12">
        <f t="shared" si="6"/>
        <v>113277482.11755085</v>
      </c>
    </row>
    <row r="12" spans="1:21" x14ac:dyDescent="0.2">
      <c r="A12" t="s">
        <v>6</v>
      </c>
      <c r="B12" s="2">
        <v>0.73</v>
      </c>
      <c r="F12" s="42" t="s">
        <v>13</v>
      </c>
      <c r="G12" s="43" t="s">
        <v>1</v>
      </c>
      <c r="H12" s="8"/>
      <c r="I12" s="8">
        <v>10</v>
      </c>
      <c r="J12" s="8">
        <f t="shared" si="7"/>
        <v>7822.2871931063564</v>
      </c>
      <c r="K12" s="8"/>
      <c r="L12" s="8">
        <v>10</v>
      </c>
      <c r="M12" s="8">
        <f t="shared" si="8"/>
        <v>4.519603984E-2</v>
      </c>
      <c r="N12" s="8">
        <f>J12*SUM(M$3:M12)*B$5</f>
        <v>1339.4605232445688</v>
      </c>
      <c r="O12" s="8">
        <f t="shared" si="0"/>
        <v>22841.81028198796</v>
      </c>
      <c r="P12" s="11">
        <f t="shared" si="1"/>
        <v>566476894.99330139</v>
      </c>
      <c r="Q12" s="11">
        <f t="shared" si="2"/>
        <v>488114577.94345653</v>
      </c>
      <c r="R12" s="11">
        <f t="shared" si="3"/>
        <v>39462458.9213553</v>
      </c>
      <c r="S12" s="11">
        <f t="shared" si="4"/>
        <v>27975679.564597812</v>
      </c>
      <c r="T12" s="11">
        <f t="shared" si="5"/>
        <v>171539533.95737895</v>
      </c>
      <c r="U12" s="12">
        <f t="shared" si="6"/>
        <v>121607602.91739225</v>
      </c>
    </row>
    <row r="13" spans="1:21" x14ac:dyDescent="0.2">
      <c r="A13" t="s">
        <v>7</v>
      </c>
      <c r="B13" s="2">
        <v>4</v>
      </c>
      <c r="C13" s="33"/>
      <c r="F13" s="13" t="s">
        <v>205</v>
      </c>
      <c r="G13" s="22">
        <f>SUM(U3:U12)</f>
        <v>744235722.88155663</v>
      </c>
      <c r="H13" s="8"/>
      <c r="I13" s="8">
        <v>11</v>
      </c>
      <c r="J13" s="8">
        <f t="shared" si="7"/>
        <v>7978.7329369684821</v>
      </c>
      <c r="K13" s="8"/>
      <c r="L13" s="8">
        <v>11</v>
      </c>
      <c r="M13" s="8">
        <f t="shared" si="8"/>
        <v>4.4292119043199997E-2</v>
      </c>
      <c r="N13" s="8">
        <f>J13*SUM(M$3:M13)*B$5</f>
        <v>1578.2867271443251</v>
      </c>
      <c r="O13" s="8">
        <f t="shared" si="0"/>
        <v>26914.511750360802</v>
      </c>
      <c r="P13" s="11">
        <f t="shared" si="1"/>
        <v>667479891.40894783</v>
      </c>
      <c r="Q13" s="11">
        <f t="shared" si="2"/>
        <v>566645862.32568717</v>
      </c>
      <c r="R13" s="11">
        <f t="shared" si="3"/>
        <v>46498626.913755722</v>
      </c>
      <c r="S13" s="11">
        <f t="shared" si="4"/>
        <v>31849035.198872451</v>
      </c>
      <c r="T13" s="11">
        <f>T$12</f>
        <v>171539533.95737895</v>
      </c>
      <c r="U13" s="12">
        <f t="shared" si="6"/>
        <v>117495268.51921956</v>
      </c>
    </row>
    <row r="14" spans="1:21" x14ac:dyDescent="0.2">
      <c r="A14" t="s">
        <v>46</v>
      </c>
      <c r="B14" s="2">
        <v>0.05</v>
      </c>
      <c r="C14" s="33"/>
      <c r="F14" s="13"/>
      <c r="G14" s="22"/>
      <c r="H14" s="8"/>
      <c r="I14" s="8">
        <v>12</v>
      </c>
      <c r="J14" s="8">
        <f t="shared" si="7"/>
        <v>8138.3075957078527</v>
      </c>
      <c r="K14" s="8"/>
      <c r="L14" s="8">
        <v>12</v>
      </c>
      <c r="M14" s="8">
        <f t="shared" si="8"/>
        <v>4.3406276662335999E-2</v>
      </c>
      <c r="N14" s="8">
        <f>J14*SUM(M$3:M14)*B$5</f>
        <v>1821.8046403247033</v>
      </c>
      <c r="O14" s="8">
        <f t="shared" si="0"/>
        <v>31067.220901996017</v>
      </c>
      <c r="P14" s="11">
        <f t="shared" si="1"/>
        <v>770467078.36950123</v>
      </c>
      <c r="Q14" s="11">
        <f t="shared" si="2"/>
        <v>644408973.33274543</v>
      </c>
      <c r="R14" s="11">
        <f t="shared" si="3"/>
        <v>53673019.498478584</v>
      </c>
      <c r="S14" s="11">
        <f t="shared" si="4"/>
        <v>35519907.87283989</v>
      </c>
      <c r="T14" s="11">
        <f t="shared" ref="T14:T32" si="9">T$12</f>
        <v>171539533.95737895</v>
      </c>
      <c r="U14" s="12">
        <f t="shared" si="6"/>
        <v>113521998.56929429</v>
      </c>
    </row>
    <row r="15" spans="1:21" x14ac:dyDescent="0.2">
      <c r="A15" t="s">
        <v>8</v>
      </c>
      <c r="B15" s="2">
        <v>0.98</v>
      </c>
      <c r="F15" s="45" t="s">
        <v>32</v>
      </c>
      <c r="G15" s="25">
        <f>G9-G13</f>
        <v>1080681693.3327751</v>
      </c>
      <c r="H15" s="8"/>
      <c r="I15" s="8">
        <v>13</v>
      </c>
      <c r="J15" s="8">
        <f t="shared" si="7"/>
        <v>8301.0737476220093</v>
      </c>
      <c r="K15" s="8"/>
      <c r="L15" s="8">
        <v>13</v>
      </c>
      <c r="M15" s="8">
        <f t="shared" si="8"/>
        <v>4.2538151129089277E-2</v>
      </c>
      <c r="N15" s="8">
        <f>J15*SUM(M$3:M15)*B$5</f>
        <v>2070.1081308972334</v>
      </c>
      <c r="O15" s="8">
        <f t="shared" si="0"/>
        <v>35301.538469097271</v>
      </c>
      <c r="P15" s="11">
        <f t="shared" si="1"/>
        <v>875478154.03361237</v>
      </c>
      <c r="Q15" s="11">
        <f t="shared" si="2"/>
        <v>721417651.40681159</v>
      </c>
      <c r="R15" s="11">
        <f t="shared" si="3"/>
        <v>60988402.166877307</v>
      </c>
      <c r="S15" s="11">
        <f t="shared" si="4"/>
        <v>38996237.626454033</v>
      </c>
      <c r="T15" s="11">
        <f t="shared" si="9"/>
        <v>171539533.95737895</v>
      </c>
      <c r="U15" s="12">
        <f t="shared" si="6"/>
        <v>109683090.40511525</v>
      </c>
    </row>
    <row r="16" spans="1:21" ht="16" thickBot="1" x14ac:dyDescent="0.25">
      <c r="A16" t="s">
        <v>9</v>
      </c>
      <c r="B16" s="1">
        <f>D69</f>
        <v>29461.457233368532</v>
      </c>
      <c r="C16" s="33"/>
      <c r="D16" s="33"/>
      <c r="E16" s="4"/>
      <c r="F16" s="46" t="s">
        <v>33</v>
      </c>
      <c r="G16" s="26">
        <f>G9/G13</f>
        <v>2.4520690959963005</v>
      </c>
      <c r="H16" s="8"/>
      <c r="I16" s="8">
        <v>14</v>
      </c>
      <c r="J16" s="8">
        <f t="shared" si="7"/>
        <v>8467.0952225744513</v>
      </c>
      <c r="K16" s="8"/>
      <c r="L16" s="8">
        <v>14</v>
      </c>
      <c r="M16" s="8">
        <f t="shared" si="8"/>
        <v>4.1687388106507489E-2</v>
      </c>
      <c r="N16" s="8">
        <f>J16*SUM(M$3:M16)*B$5</f>
        <v>2323.2929443221087</v>
      </c>
      <c r="O16" s="8">
        <f t="shared" si="0"/>
        <v>39619.09719828095</v>
      </c>
      <c r="P16" s="11">
        <f t="shared" si="1"/>
        <v>982553610.5173676</v>
      </c>
      <c r="Q16" s="11">
        <f t="shared" si="2"/>
        <v>797685438.78728878</v>
      </c>
      <c r="R16" s="11">
        <f t="shared" si="3"/>
        <v>68447595.719732657</v>
      </c>
      <c r="S16" s="11">
        <f t="shared" si="4"/>
        <v>42285678.223870382</v>
      </c>
      <c r="T16" s="11">
        <f t="shared" si="9"/>
        <v>171539533.95737895</v>
      </c>
      <c r="U16" s="12">
        <f t="shared" si="6"/>
        <v>105974000.39141572</v>
      </c>
    </row>
    <row r="17" spans="1:21" ht="16" thickBot="1" x14ac:dyDescent="0.25">
      <c r="A17" t="s">
        <v>10</v>
      </c>
      <c r="B17" s="2">
        <f>1/1.015</f>
        <v>0.98522167487684742</v>
      </c>
      <c r="F17" s="17"/>
      <c r="G17" s="27"/>
      <c r="H17" s="8"/>
      <c r="I17" s="8">
        <v>15</v>
      </c>
      <c r="J17" s="8">
        <f t="shared" si="7"/>
        <v>8636.437127025938</v>
      </c>
      <c r="K17" s="8"/>
      <c r="L17" s="8">
        <v>15</v>
      </c>
      <c r="M17" s="8">
        <f t="shared" si="8"/>
        <v>4.0853640344377336E-2</v>
      </c>
      <c r="N17" s="8">
        <f>J17*SUM(M$3:M17)*B$5</f>
        <v>2581.4567409551573</v>
      </c>
      <c r="O17" s="8">
        <f t="shared" si="0"/>
        <v>44021.562490864351</v>
      </c>
      <c r="P17" s="11">
        <f t="shared" si="1"/>
        <v>1091734749.7734358</v>
      </c>
      <c r="Q17" s="11">
        <f t="shared" si="2"/>
        <v>873225682.56861961</v>
      </c>
      <c r="R17" s="11">
        <f t="shared" si="3"/>
        <v>76053477.373441279</v>
      </c>
      <c r="S17" s="11">
        <f t="shared" si="4"/>
        <v>45395607.158000961</v>
      </c>
      <c r="T17" s="11">
        <f t="shared" si="9"/>
        <v>171539533.95737895</v>
      </c>
      <c r="U17" s="12">
        <f t="shared" si="6"/>
        <v>102390338.54243064</v>
      </c>
    </row>
    <row r="18" spans="1:21" x14ac:dyDescent="0.2">
      <c r="A18" t="s">
        <v>11</v>
      </c>
      <c r="B18" s="2">
        <f>1/1.035</f>
        <v>0.96618357487922713</v>
      </c>
      <c r="F18" s="47" t="s">
        <v>43</v>
      </c>
      <c r="G18" s="21">
        <v>30</v>
      </c>
      <c r="H18" s="8"/>
      <c r="I18" s="8">
        <v>16</v>
      </c>
      <c r="J18" s="8">
        <f t="shared" si="7"/>
        <v>8809.1658695664573</v>
      </c>
      <c r="K18" s="8"/>
      <c r="L18" s="8">
        <v>16</v>
      </c>
      <c r="M18" s="8">
        <f t="shared" si="8"/>
        <v>4.0036567537489791E-2</v>
      </c>
      <c r="N18" s="8">
        <f>J18*SUM(M$3:M18)*B$5</f>
        <v>2844.6991343457689</v>
      </c>
      <c r="O18" s="8">
        <f t="shared" si="0"/>
        <v>48510.633055959988</v>
      </c>
      <c r="P18" s="11">
        <f t="shared" si="1"/>
        <v>1203063699.7878077</v>
      </c>
      <c r="Q18" s="11">
        <f t="shared" si="2"/>
        <v>948051537.71196473</v>
      </c>
      <c r="R18" s="11">
        <f t="shared" si="3"/>
        <v>83808981.888328359</v>
      </c>
      <c r="S18" s="11">
        <f t="shared" si="4"/>
        <v>48333135.309796505</v>
      </c>
      <c r="T18" s="11">
        <f t="shared" si="9"/>
        <v>171539533.95737895</v>
      </c>
      <c r="U18" s="12">
        <f t="shared" si="6"/>
        <v>98927863.326019958</v>
      </c>
    </row>
    <row r="19" spans="1:21" x14ac:dyDescent="0.2">
      <c r="A19" t="s">
        <v>185</v>
      </c>
      <c r="B19" s="121">
        <f>C58</f>
        <v>17.052992518703242</v>
      </c>
      <c r="F19" s="42" t="s">
        <v>12</v>
      </c>
      <c r="G19" s="22"/>
      <c r="H19" s="8"/>
      <c r="I19" s="8">
        <v>17</v>
      </c>
      <c r="J19" s="8">
        <f t="shared" si="7"/>
        <v>8985.3491869577865</v>
      </c>
      <c r="K19" s="8"/>
      <c r="L19" s="8">
        <v>17</v>
      </c>
      <c r="M19" s="8">
        <f t="shared" si="8"/>
        <v>3.9235836186739995E-2</v>
      </c>
      <c r="N19" s="8">
        <f>J19*SUM(M$3:M19)*B$5</f>
        <v>3113.1217303007638</v>
      </c>
      <c r="O19" s="8">
        <f t="shared" si="0"/>
        <v>53088.041576631418</v>
      </c>
      <c r="P19" s="11">
        <f t="shared" si="1"/>
        <v>1316583431.1004591</v>
      </c>
      <c r="Q19" s="11">
        <f t="shared" si="2"/>
        <v>1022175970.0114305</v>
      </c>
      <c r="R19" s="11">
        <f t="shared" si="3"/>
        <v>91717102.719526201</v>
      </c>
      <c r="S19" s="11">
        <f t="shared" si="4"/>
        <v>51105116.274109341</v>
      </c>
      <c r="T19" s="11">
        <f t="shared" si="9"/>
        <v>171539533.95737895</v>
      </c>
      <c r="U19" s="12">
        <f t="shared" si="6"/>
        <v>95582476.643497556</v>
      </c>
    </row>
    <row r="20" spans="1:21" x14ac:dyDescent="0.2">
      <c r="A20" t="s">
        <v>25</v>
      </c>
      <c r="B20" s="2">
        <v>37.700000000000003</v>
      </c>
      <c r="F20" s="42" t="s">
        <v>13</v>
      </c>
      <c r="G20" s="43" t="s">
        <v>1</v>
      </c>
      <c r="H20" s="8"/>
      <c r="I20" s="8">
        <v>18</v>
      </c>
      <c r="J20" s="8">
        <f t="shared" si="7"/>
        <v>9165.056170696942</v>
      </c>
      <c r="K20" s="8"/>
      <c r="L20" s="8">
        <v>18</v>
      </c>
      <c r="M20" s="8">
        <f t="shared" si="8"/>
        <v>3.8451119463005196E-2</v>
      </c>
      <c r="N20" s="8">
        <f>J20*SUM(M$3:M20)*B$5</f>
        <v>3386.8281667295519</v>
      </c>
      <c r="O20" s="8">
        <f t="shared" si="0"/>
        <v>57755.555389372465</v>
      </c>
      <c r="P20" s="11">
        <f t="shared" si="1"/>
        <v>1432337773.6564372</v>
      </c>
      <c r="Q20" s="11">
        <f t="shared" si="2"/>
        <v>1095611759.0155492</v>
      </c>
      <c r="R20" s="11">
        <f t="shared" si="3"/>
        <v>99780893.190870643</v>
      </c>
      <c r="S20" s="11">
        <f t="shared" si="4"/>
        <v>53718155.363585502</v>
      </c>
      <c r="T20" s="11">
        <f t="shared" si="9"/>
        <v>171539533.95737895</v>
      </c>
      <c r="U20" s="12">
        <f t="shared" si="6"/>
        <v>92350218.979224697</v>
      </c>
    </row>
    <row r="21" spans="1:21" x14ac:dyDescent="0.2">
      <c r="A21" t="s">
        <v>48</v>
      </c>
      <c r="B21" s="2">
        <v>141000</v>
      </c>
      <c r="F21" s="13" t="s">
        <v>22</v>
      </c>
      <c r="G21" s="23">
        <f>SUM(N3:N32)</f>
        <v>88397.055397232485</v>
      </c>
      <c r="H21" s="8"/>
      <c r="I21" s="8">
        <v>19</v>
      </c>
      <c r="J21" s="8">
        <f t="shared" si="7"/>
        <v>9348.3572941108814</v>
      </c>
      <c r="K21" s="8"/>
      <c r="L21" s="8">
        <v>19</v>
      </c>
      <c r="M21" s="8">
        <f t="shared" si="8"/>
        <v>3.7682097073745091E-2</v>
      </c>
      <c r="N21" s="8">
        <f>J21*SUM(M$3:M21)*B$5</f>
        <v>3665.9241542861869</v>
      </c>
      <c r="O21" s="8">
        <f t="shared" si="0"/>
        <v>62514.977177175853</v>
      </c>
      <c r="P21" s="11">
        <f t="shared" si="1"/>
        <v>1550371433.9939611</v>
      </c>
      <c r="Q21" s="11">
        <f t="shared" si="2"/>
        <v>1168371500.9046817</v>
      </c>
      <c r="R21" s="11">
        <f t="shared" si="3"/>
        <v>108003467.6922752</v>
      </c>
      <c r="S21" s="11">
        <f t="shared" si="4"/>
        <v>56178618.301641583</v>
      </c>
      <c r="T21" s="11">
        <f t="shared" si="9"/>
        <v>171539533.95737895</v>
      </c>
      <c r="U21" s="12">
        <f t="shared" si="6"/>
        <v>89227264.714226767</v>
      </c>
    </row>
    <row r="22" spans="1:21" x14ac:dyDescent="0.2">
      <c r="A22" t="s">
        <v>50</v>
      </c>
      <c r="B22" s="2">
        <f>B21*B12</f>
        <v>102930</v>
      </c>
      <c r="F22" s="13" t="s">
        <v>23</v>
      </c>
      <c r="G22" s="22">
        <f>G21*B$19</f>
        <v>1507434.3243644016</v>
      </c>
      <c r="I22" s="8">
        <v>20</v>
      </c>
      <c r="J22" s="8">
        <f t="shared" si="7"/>
        <v>9535.3244399930991</v>
      </c>
      <c r="K22" s="8"/>
      <c r="L22" s="8">
        <v>20</v>
      </c>
      <c r="M22" s="8">
        <f t="shared" si="8"/>
        <v>3.6928455132270187E-2</v>
      </c>
      <c r="N22" s="8">
        <f>J22*SUM(M$3:M22)*B$5</f>
        <v>3950.5175178242648</v>
      </c>
      <c r="O22" s="8">
        <f t="shared" si="0"/>
        <v>67368.145676463289</v>
      </c>
      <c r="P22" s="11">
        <f t="shared" si="1"/>
        <v>1670730012.7762895</v>
      </c>
      <c r="Q22" s="11">
        <f t="shared" si="2"/>
        <v>1240467611.3250208</v>
      </c>
      <c r="R22" s="11">
        <f t="shared" si="3"/>
        <v>116388002.90105279</v>
      </c>
      <c r="S22" s="11">
        <f t="shared" si="4"/>
        <v>58492639.615203425</v>
      </c>
      <c r="T22" s="11">
        <f t="shared" si="9"/>
        <v>171539533.95737895</v>
      </c>
      <c r="U22" s="12">
        <f t="shared" si="6"/>
        <v>86209917.598286733</v>
      </c>
    </row>
    <row r="23" spans="1:21" x14ac:dyDescent="0.2">
      <c r="A23" t="s">
        <v>49</v>
      </c>
      <c r="B23" s="2">
        <f>B7-B22</f>
        <v>824170</v>
      </c>
      <c r="F23" s="13" t="s">
        <v>37</v>
      </c>
      <c r="G23" s="22">
        <f>SUM(Q3:Q32)</f>
        <v>27033399383.264404</v>
      </c>
      <c r="H23" s="8"/>
      <c r="I23" s="8">
        <v>21</v>
      </c>
      <c r="J23" s="8">
        <f t="shared" si="7"/>
        <v>9726.0309287929613</v>
      </c>
      <c r="K23" s="8"/>
      <c r="L23" s="8">
        <v>21</v>
      </c>
      <c r="M23" s="8">
        <f t="shared" si="8"/>
        <v>3.6189886029624779E-2</v>
      </c>
      <c r="N23" s="8">
        <f>J23*SUM(M$3:M23)*B$5</f>
        <v>4240.7182386809245</v>
      </c>
      <c r="O23" s="8">
        <f t="shared" si="0"/>
        <v>72316.936398154197</v>
      </c>
      <c r="P23" s="11">
        <f t="shared" si="1"/>
        <v>1793460022.6742241</v>
      </c>
      <c r="Q23" s="11">
        <f t="shared" si="2"/>
        <v>1311912328.1798503</v>
      </c>
      <c r="R23" s="11">
        <f t="shared" si="3"/>
        <v>124937739.02766399</v>
      </c>
      <c r="S23" s="11">
        <f t="shared" si="4"/>
        <v>60666130.737518057</v>
      </c>
      <c r="T23" s="11">
        <f t="shared" si="9"/>
        <v>171539533.95737895</v>
      </c>
      <c r="U23" s="12">
        <f t="shared" si="6"/>
        <v>83294606.375156268</v>
      </c>
    </row>
    <row r="24" spans="1:21" x14ac:dyDescent="0.2">
      <c r="A24" t="s">
        <v>51</v>
      </c>
      <c r="B24" s="2">
        <v>0.25</v>
      </c>
      <c r="F24" s="13" t="s">
        <v>41</v>
      </c>
      <c r="G24" s="22">
        <f>SUM(S3:S32)</f>
        <v>1247889431.2180498</v>
      </c>
      <c r="H24" s="8"/>
      <c r="I24" s="8">
        <v>22</v>
      </c>
      <c r="J24" s="8">
        <f t="shared" si="7"/>
        <v>9920.551547368821</v>
      </c>
      <c r="K24" s="8"/>
      <c r="L24" s="8">
        <v>22</v>
      </c>
      <c r="M24" s="8">
        <f t="shared" si="8"/>
        <v>3.5466088309032286E-2</v>
      </c>
      <c r="N24" s="8">
        <f>J24*SUM(M$3:M24)*B$5</f>
        <v>4536.6384978065162</v>
      </c>
      <c r="O24" s="8">
        <f t="shared" si="0"/>
        <v>77363.262363155634</v>
      </c>
      <c r="P24" s="11">
        <f t="shared" si="1"/>
        <v>1918608906.6062598</v>
      </c>
      <c r="Q24" s="11">
        <f t="shared" si="2"/>
        <v>1382717714.3787088</v>
      </c>
      <c r="R24" s="11">
        <f t="shared" si="3"/>
        <v>133655981.08637993</v>
      </c>
      <c r="S24" s="11">
        <f t="shared" si="4"/>
        <v>62704787.830996446</v>
      </c>
      <c r="T24" s="11">
        <f t="shared" si="9"/>
        <v>171539533.95737895</v>
      </c>
      <c r="U24" s="12">
        <f t="shared" si="6"/>
        <v>80477880.555706546</v>
      </c>
    </row>
    <row r="25" spans="1:21" x14ac:dyDescent="0.2">
      <c r="F25" s="13" t="s">
        <v>39</v>
      </c>
      <c r="G25" s="22">
        <f>G23+G24</f>
        <v>28281288814.482452</v>
      </c>
      <c r="H25" s="8"/>
      <c r="I25" s="8">
        <v>23</v>
      </c>
      <c r="J25" s="8">
        <f t="shared" si="7"/>
        <v>10118.962578316196</v>
      </c>
      <c r="K25" s="8"/>
      <c r="L25" s="8">
        <v>23</v>
      </c>
      <c r="M25" s="8">
        <f t="shared" si="8"/>
        <v>3.475676654285164E-2</v>
      </c>
      <c r="N25" s="8">
        <f>J25*SUM(M$3:M25)*B$5</f>
        <v>4838.3927197568792</v>
      </c>
      <c r="O25" s="8">
        <f t="shared" si="0"/>
        <v>82509.074852562291</v>
      </c>
      <c r="P25" s="11">
        <f t="shared" si="1"/>
        <v>2046225056.3435447</v>
      </c>
      <c r="Q25" s="11">
        <f t="shared" si="2"/>
        <v>1452895660.5451033</v>
      </c>
      <c r="R25" s="11">
        <f t="shared" si="3"/>
        <v>142546100.19135895</v>
      </c>
      <c r="S25" s="11">
        <f t="shared" si="4"/>
        <v>64614099.339704297</v>
      </c>
      <c r="T25" s="11">
        <f t="shared" si="9"/>
        <v>171539533.95737895</v>
      </c>
      <c r="U25" s="12">
        <f t="shared" si="6"/>
        <v>77756406.334015995</v>
      </c>
    </row>
    <row r="26" spans="1:21" x14ac:dyDescent="0.2">
      <c r="F26" s="17"/>
      <c r="G26" s="24"/>
      <c r="H26" s="8"/>
      <c r="I26" s="8">
        <v>24</v>
      </c>
      <c r="J26" s="8">
        <f t="shared" si="7"/>
        <v>10321.34182988252</v>
      </c>
      <c r="K26" s="8"/>
      <c r="L26" s="8">
        <v>24</v>
      </c>
      <c r="M26" s="8">
        <f t="shared" si="8"/>
        <v>3.4061631211994604E-2</v>
      </c>
      <c r="N26" s="8">
        <f>J26*SUM(M$3:M26)*B$5</f>
        <v>5146.0976175654523</v>
      </c>
      <c r="O26" s="8">
        <f t="shared" si="0"/>
        <v>87756.364172860238</v>
      </c>
      <c r="P26" s="11">
        <f t="shared" si="1"/>
        <v>2176357831.4869337</v>
      </c>
      <c r="Q26" s="11">
        <f t="shared" si="2"/>
        <v>1522457887.6833968</v>
      </c>
      <c r="R26" s="11">
        <f t="shared" si="3"/>
        <v>151611534.87864426</v>
      </c>
      <c r="S26" s="11">
        <f t="shared" si="4"/>
        <v>66399353.280787691</v>
      </c>
      <c r="T26" s="11">
        <f t="shared" si="9"/>
        <v>171539533.95737895</v>
      </c>
      <c r="U26" s="12">
        <f t="shared" si="6"/>
        <v>75126962.641561344</v>
      </c>
    </row>
    <row r="27" spans="1:21" x14ac:dyDescent="0.2">
      <c r="F27" s="42" t="s">
        <v>29</v>
      </c>
      <c r="G27" s="22"/>
      <c r="H27" s="8"/>
      <c r="I27" s="8">
        <v>25</v>
      </c>
      <c r="J27" s="8">
        <f t="shared" si="7"/>
        <v>10527.768666480169</v>
      </c>
      <c r="K27" s="8"/>
      <c r="L27" s="8">
        <v>25</v>
      </c>
      <c r="M27" s="8">
        <f t="shared" si="8"/>
        <v>3.3380398587754712E-2</v>
      </c>
      <c r="N27" s="8">
        <f>J27*SUM(M$3:M27)*B$5</f>
        <v>5459.8722385128303</v>
      </c>
      <c r="O27" s="8">
        <f t="shared" si="0"/>
        <v>93107.160436434817</v>
      </c>
      <c r="P27" s="11">
        <f t="shared" si="1"/>
        <v>2309057578.8235836</v>
      </c>
      <c r="Q27" s="11">
        <f t="shared" si="2"/>
        <v>1591415949.805495</v>
      </c>
      <c r="R27" s="11">
        <f t="shared" si="3"/>
        <v>160855792.45460185</v>
      </c>
      <c r="S27" s="11">
        <f t="shared" si="4"/>
        <v>68065644.283802941</v>
      </c>
      <c r="T27" s="11">
        <f t="shared" si="9"/>
        <v>171539533.95737895</v>
      </c>
      <c r="U27" s="12">
        <f t="shared" si="6"/>
        <v>72586437.334841892</v>
      </c>
    </row>
    <row r="28" spans="1:21" x14ac:dyDescent="0.2">
      <c r="F28" s="42" t="s">
        <v>13</v>
      </c>
      <c r="G28" s="43" t="s">
        <v>1</v>
      </c>
      <c r="H28" s="8"/>
      <c r="I28" s="8">
        <v>26</v>
      </c>
      <c r="J28" s="8">
        <f t="shared" si="7"/>
        <v>10738.324039809773</v>
      </c>
      <c r="K28" s="8"/>
      <c r="L28" s="8">
        <v>26</v>
      </c>
      <c r="M28" s="8">
        <f t="shared" si="8"/>
        <v>3.2712790615999618E-2</v>
      </c>
      <c r="N28" s="8">
        <f>J28*SUM(M$3:M28)*B$5</f>
        <v>5779.838010811719</v>
      </c>
      <c r="O28" s="8">
        <f t="shared" si="0"/>
        <v>98563.53435768887</v>
      </c>
      <c r="P28" s="11">
        <f t="shared" si="1"/>
        <v>2444375652.070684</v>
      </c>
      <c r="Q28" s="11">
        <f t="shared" si="2"/>
        <v>1659781236.5179408</v>
      </c>
      <c r="R28" s="11">
        <f t="shared" si="3"/>
        <v>170282450.37132731</v>
      </c>
      <c r="S28" s="11">
        <f t="shared" si="4"/>
        <v>69617880.386611998</v>
      </c>
      <c r="T28" s="11">
        <f t="shared" si="9"/>
        <v>171539533.95737895</v>
      </c>
      <c r="U28" s="12">
        <f t="shared" si="6"/>
        <v>70131823.511924535</v>
      </c>
    </row>
    <row r="29" spans="1:21" x14ac:dyDescent="0.2">
      <c r="A29" s="3" t="s">
        <v>186</v>
      </c>
      <c r="B29" s="130">
        <v>1.24</v>
      </c>
      <c r="C29" s="132"/>
      <c r="D29" s="132"/>
      <c r="F29" s="13" t="s">
        <v>205</v>
      </c>
      <c r="G29" s="22">
        <f>SUM(U3:U32)</f>
        <v>2472572020.1272063</v>
      </c>
      <c r="H29" s="8"/>
      <c r="I29" s="8">
        <v>27</v>
      </c>
      <c r="J29" s="8">
        <f t="shared" si="7"/>
        <v>10953.090520605967</v>
      </c>
      <c r="K29" s="8"/>
      <c r="L29" s="8">
        <v>27</v>
      </c>
      <c r="M29" s="8">
        <f t="shared" si="8"/>
        <v>3.2058534803679622E-2</v>
      </c>
      <c r="N29" s="8">
        <f>J29*SUM(M$3:M29)*B$5</f>
        <v>6106.1187912255727</v>
      </c>
      <c r="O29" s="8">
        <f t="shared" si="0"/>
        <v>104127.59806508297</v>
      </c>
      <c r="P29" s="11">
        <f t="shared" si="1"/>
        <v>2582364432.0140576</v>
      </c>
      <c r="Q29" s="11">
        <f t="shared" si="2"/>
        <v>1727564975.5700192</v>
      </c>
      <c r="R29" s="11">
        <f t="shared" si="3"/>
        <v>179895157.62956017</v>
      </c>
      <c r="S29" s="11">
        <f t="shared" si="4"/>
        <v>71060789.596208483</v>
      </c>
      <c r="T29" s="11">
        <f t="shared" si="9"/>
        <v>171539533.95737895</v>
      </c>
      <c r="U29" s="12">
        <f t="shared" si="6"/>
        <v>67760215.953550279</v>
      </c>
    </row>
    <row r="30" spans="1:21" x14ac:dyDescent="0.2">
      <c r="A30" t="s">
        <v>187</v>
      </c>
      <c r="F30" s="13"/>
      <c r="G30" s="22"/>
      <c r="H30" s="8"/>
      <c r="I30" s="8">
        <v>28</v>
      </c>
      <c r="J30" s="8">
        <f t="shared" si="7"/>
        <v>11172.152331018089</v>
      </c>
      <c r="K30" s="8"/>
      <c r="L30" s="8">
        <v>28</v>
      </c>
      <c r="M30" s="8">
        <f t="shared" si="8"/>
        <v>3.1417364107606031E-2</v>
      </c>
      <c r="N30" s="8">
        <f>J30*SUM(M$3:M30)*B$5</f>
        <v>6438.8409136396249</v>
      </c>
      <c r="O30" s="8">
        <f t="shared" si="0"/>
        <v>109801.50592941688</v>
      </c>
      <c r="P30" s="11">
        <f t="shared" si="1"/>
        <v>2723077347.0495386</v>
      </c>
      <c r="Q30" s="11">
        <f t="shared" si="2"/>
        <v>1794778235.3634684</v>
      </c>
      <c r="R30" s="11">
        <f t="shared" si="3"/>
        <v>189697636.20965737</v>
      </c>
      <c r="S30" s="11">
        <f t="shared" si="4"/>
        <v>72398926.222552449</v>
      </c>
      <c r="T30" s="11">
        <f t="shared" si="9"/>
        <v>171539533.95737895</v>
      </c>
      <c r="U30" s="12">
        <f t="shared" si="6"/>
        <v>65468807.684589647</v>
      </c>
    </row>
    <row r="31" spans="1:21" x14ac:dyDescent="0.2">
      <c r="F31" s="45" t="s">
        <v>32</v>
      </c>
      <c r="G31" s="25">
        <f>G25-G29</f>
        <v>25808716794.355247</v>
      </c>
      <c r="H31" s="8"/>
      <c r="I31" s="8">
        <v>29</v>
      </c>
      <c r="J31" s="8">
        <f t="shared" si="7"/>
        <v>11395.595377638449</v>
      </c>
      <c r="K31" s="8"/>
      <c r="L31" s="8">
        <v>29</v>
      </c>
      <c r="M31" s="8">
        <f t="shared" si="8"/>
        <v>3.0789016825453909E-2</v>
      </c>
      <c r="N31" s="8">
        <f>J31*SUM(M$3:M31)*B$5</f>
        <v>6778.1332386033218</v>
      </c>
      <c r="O31" s="8">
        <f t="shared" si="0"/>
        <v>115587.45540867622</v>
      </c>
      <c r="P31" s="11">
        <f t="shared" si="1"/>
        <v>2866568894.1351705</v>
      </c>
      <c r="Q31" s="11">
        <f t="shared" si="2"/>
        <v>1861431927.4243724</v>
      </c>
      <c r="R31" s="11">
        <f t="shared" si="3"/>
        <v>199693682.53118551</v>
      </c>
      <c r="S31" s="11">
        <f t="shared" si="4"/>
        <v>73636676.993215084</v>
      </c>
      <c r="T31" s="11">
        <f t="shared" si="9"/>
        <v>171539533.95737895</v>
      </c>
      <c r="U31" s="12">
        <f t="shared" si="6"/>
        <v>63254886.651777431</v>
      </c>
    </row>
    <row r="32" spans="1:21" ht="16" thickBot="1" x14ac:dyDescent="0.25">
      <c r="F32" s="48" t="s">
        <v>33</v>
      </c>
      <c r="G32" s="28">
        <f>G25 / G29</f>
        <v>11.438004063892734</v>
      </c>
      <c r="H32" s="14"/>
      <c r="I32" s="14">
        <v>30</v>
      </c>
      <c r="J32" s="14">
        <f t="shared" si="7"/>
        <v>11623.507285191219</v>
      </c>
      <c r="K32" s="14"/>
      <c r="L32" s="14">
        <v>30</v>
      </c>
      <c r="M32" s="14">
        <f t="shared" si="8"/>
        <v>3.0173236488944832E-2</v>
      </c>
      <c r="N32" s="14">
        <f>J32*SUM(M$3:M32)*B$5</f>
        <v>7124.1272038636171</v>
      </c>
      <c r="O32" s="14">
        <f t="shared" si="0"/>
        <v>121487.6879097765</v>
      </c>
      <c r="P32" s="15">
        <f t="shared" si="1"/>
        <v>3012894660.1624575</v>
      </c>
      <c r="Q32" s="15">
        <f t="shared" si="2"/>
        <v>1927536808.8378243</v>
      </c>
      <c r="R32" s="15">
        <f t="shared" si="3"/>
        <v>209887168.94170529</v>
      </c>
      <c r="S32" s="15">
        <f t="shared" si="4"/>
        <v>74778266.956367657</v>
      </c>
      <c r="T32" s="15">
        <f t="shared" si="9"/>
        <v>171539533.95737895</v>
      </c>
      <c r="U32" s="16">
        <f t="shared" si="6"/>
        <v>61115832.513794631</v>
      </c>
    </row>
    <row r="33" spans="1:21" x14ac:dyDescent="0.2">
      <c r="A33" t="s">
        <v>188</v>
      </c>
      <c r="B33" s="2">
        <v>20000</v>
      </c>
    </row>
    <row r="34" spans="1:21" ht="16" thickBot="1" x14ac:dyDescent="0.25">
      <c r="A34" t="s">
        <v>189</v>
      </c>
      <c r="B34" s="2">
        <f>B29*B33</f>
        <v>24800</v>
      </c>
      <c r="F34" s="3"/>
    </row>
    <row r="35" spans="1:21" ht="16" thickBot="1" x14ac:dyDescent="0.25">
      <c r="F35" s="38" t="s">
        <v>34</v>
      </c>
      <c r="G35" s="20"/>
      <c r="H35" s="5"/>
      <c r="I35" s="39" t="s">
        <v>17</v>
      </c>
      <c r="J35" s="6"/>
      <c r="K35" s="5"/>
      <c r="L35" s="39" t="s">
        <v>18</v>
      </c>
      <c r="M35" s="39"/>
      <c r="N35" s="39"/>
      <c r="O35" s="5"/>
      <c r="P35" s="5"/>
      <c r="Q35" s="5"/>
      <c r="R35" s="5"/>
      <c r="S35" s="5"/>
      <c r="T35" s="5"/>
      <c r="U35" s="7"/>
    </row>
    <row r="36" spans="1:21" x14ac:dyDescent="0.2">
      <c r="F36" s="47" t="s">
        <v>43</v>
      </c>
      <c r="G36" s="21">
        <v>10</v>
      </c>
      <c r="H36" s="8"/>
      <c r="I36" s="40" t="s">
        <v>16</v>
      </c>
      <c r="J36" s="40" t="s">
        <v>53</v>
      </c>
      <c r="K36" s="8"/>
      <c r="L36" s="40" t="s">
        <v>16</v>
      </c>
      <c r="M36" s="44" t="s">
        <v>20</v>
      </c>
      <c r="N36" s="44" t="s">
        <v>19</v>
      </c>
      <c r="O36" s="44" t="s">
        <v>26</v>
      </c>
      <c r="P36" s="44" t="s">
        <v>27</v>
      </c>
      <c r="Q36" s="44" t="s">
        <v>28</v>
      </c>
      <c r="R36" s="44" t="s">
        <v>38</v>
      </c>
      <c r="S36" s="44" t="s">
        <v>40</v>
      </c>
      <c r="T36" s="9" t="s">
        <v>30</v>
      </c>
      <c r="U36" s="10" t="s">
        <v>31</v>
      </c>
    </row>
    <row r="37" spans="1:21" x14ac:dyDescent="0.2">
      <c r="F37" s="42" t="s">
        <v>12</v>
      </c>
      <c r="G37" s="22"/>
      <c r="H37" s="8"/>
      <c r="I37" s="8">
        <v>1</v>
      </c>
      <c r="J37" s="8">
        <f>($B$23*($B$10^I37)*(1-$B$24))+($B$22*($B$10^I37))</f>
        <v>735478.65</v>
      </c>
      <c r="K37" s="8"/>
      <c r="L37" s="8">
        <v>1</v>
      </c>
      <c r="M37" s="8">
        <v>0</v>
      </c>
      <c r="N37" s="8">
        <f>J37*SUM(M$37:M37)*B$5</f>
        <v>0</v>
      </c>
      <c r="O37" s="8">
        <f t="shared" ref="O37:O66" si="10">B$20*N37</f>
        <v>0</v>
      </c>
      <c r="P37" s="11">
        <f t="shared" ref="P37:P66" si="11">O37*B$9</f>
        <v>0</v>
      </c>
      <c r="Q37" s="11">
        <f t="shared" ref="Q37:Q66" si="12">P37*(B$17^L37)</f>
        <v>0</v>
      </c>
      <c r="R37" s="11">
        <f t="shared" ref="R37:R66" si="13">B$16*N37</f>
        <v>0</v>
      </c>
      <c r="S37" s="11">
        <f t="shared" ref="S37:S66" si="14">R37*(B$18^L37)</f>
        <v>0</v>
      </c>
      <c r="T37" s="11">
        <f>B$5*L37*(B$3/10)</f>
        <v>270000000</v>
      </c>
      <c r="U37" s="12">
        <f t="shared" ref="U37:U66" si="15">T37*(B$18^L37)</f>
        <v>260869565.21739131</v>
      </c>
    </row>
    <row r="38" spans="1:21" x14ac:dyDescent="0.2">
      <c r="F38" s="42" t="s">
        <v>13</v>
      </c>
      <c r="G38" s="43" t="s">
        <v>1</v>
      </c>
      <c r="H38" s="8"/>
      <c r="I38" s="8">
        <v>2</v>
      </c>
      <c r="J38" s="8">
        <f t="shared" ref="J38:J66" si="16">($B$23*($B$10^I38)*(1-$B$24))+($B$22*($B$10^I38))</f>
        <v>750188.223</v>
      </c>
      <c r="K38" s="8"/>
      <c r="L38" s="8">
        <v>2</v>
      </c>
      <c r="M38" s="8">
        <v>0</v>
      </c>
      <c r="N38" s="8">
        <f>J38*SUM(M$37:M38)*B$5</f>
        <v>0</v>
      </c>
      <c r="O38" s="8">
        <f t="shared" si="10"/>
        <v>0</v>
      </c>
      <c r="P38" s="11">
        <f t="shared" si="11"/>
        <v>0</v>
      </c>
      <c r="Q38" s="11">
        <f t="shared" si="12"/>
        <v>0</v>
      </c>
      <c r="R38" s="11">
        <f t="shared" si="13"/>
        <v>0</v>
      </c>
      <c r="S38" s="11">
        <f t="shared" si="14"/>
        <v>0</v>
      </c>
      <c r="T38" s="11">
        <f t="shared" ref="T38:T46" si="17">B$5*L38*(B$3/10)</f>
        <v>540000000</v>
      </c>
      <c r="U38" s="12">
        <f t="shared" si="15"/>
        <v>504095778.19785762</v>
      </c>
    </row>
    <row r="39" spans="1:21" x14ac:dyDescent="0.2">
      <c r="F39" s="13" t="s">
        <v>22</v>
      </c>
      <c r="G39" s="23">
        <f ca="1">SUM(N37:INDIRECT("L"&amp;G36+36))</f>
        <v>518317.5310329455</v>
      </c>
      <c r="H39" s="8"/>
      <c r="I39" s="8">
        <v>3</v>
      </c>
      <c r="J39" s="8">
        <f t="shared" si="16"/>
        <v>765191.98745999997</v>
      </c>
      <c r="K39" s="8"/>
      <c r="L39" s="8">
        <v>3</v>
      </c>
      <c r="M39" s="8">
        <v>0</v>
      </c>
      <c r="N39" s="8">
        <f>J39*SUM(M$37:M39)*B$5</f>
        <v>0</v>
      </c>
      <c r="O39" s="8">
        <f t="shared" si="10"/>
        <v>0</v>
      </c>
      <c r="P39" s="11">
        <f t="shared" si="11"/>
        <v>0</v>
      </c>
      <c r="Q39" s="11">
        <f t="shared" si="12"/>
        <v>0</v>
      </c>
      <c r="R39" s="11">
        <f t="shared" si="13"/>
        <v>0</v>
      </c>
      <c r="S39" s="11">
        <f t="shared" si="14"/>
        <v>0</v>
      </c>
      <c r="T39" s="11">
        <f t="shared" si="17"/>
        <v>809999999.99999988</v>
      </c>
      <c r="U39" s="12">
        <f t="shared" si="15"/>
        <v>730573591.59109807</v>
      </c>
    </row>
    <row r="40" spans="1:21" x14ac:dyDescent="0.2">
      <c r="B40" s="32"/>
      <c r="F40" s="13" t="s">
        <v>23</v>
      </c>
      <c r="G40" s="22">
        <f ca="1">G39*B$20</f>
        <v>19540570.919942047</v>
      </c>
      <c r="H40" s="8"/>
      <c r="I40" s="8">
        <v>4</v>
      </c>
      <c r="J40" s="8">
        <f t="shared" si="16"/>
        <v>780495.82720920001</v>
      </c>
      <c r="K40" s="8"/>
      <c r="L40" s="8">
        <v>4</v>
      </c>
      <c r="M40" s="8">
        <v>0</v>
      </c>
      <c r="N40" s="8">
        <f>J40*SUM(M$37:M40)*B$5</f>
        <v>0</v>
      </c>
      <c r="O40" s="8">
        <f t="shared" si="10"/>
        <v>0</v>
      </c>
      <c r="P40" s="11">
        <f t="shared" si="11"/>
        <v>0</v>
      </c>
      <c r="Q40" s="11">
        <f t="shared" si="12"/>
        <v>0</v>
      </c>
      <c r="R40" s="11">
        <f t="shared" si="13"/>
        <v>0</v>
      </c>
      <c r="S40" s="11">
        <f t="shared" si="14"/>
        <v>0</v>
      </c>
      <c r="T40" s="11">
        <f t="shared" si="17"/>
        <v>1080000000</v>
      </c>
      <c r="U40" s="12">
        <f t="shared" si="15"/>
        <v>941157605.91445816</v>
      </c>
    </row>
    <row r="41" spans="1:21" x14ac:dyDescent="0.2">
      <c r="B41" s="32"/>
      <c r="F41" s="13" t="s">
        <v>37</v>
      </c>
      <c r="G41" s="22">
        <f>SUM(Q37:Q46)</f>
        <v>310631544590.51147</v>
      </c>
      <c r="H41" s="8"/>
      <c r="I41" s="8">
        <v>5</v>
      </c>
      <c r="J41" s="8">
        <f t="shared" si="16"/>
        <v>796105.74375338398</v>
      </c>
      <c r="K41" s="8"/>
      <c r="L41" s="8">
        <v>5</v>
      </c>
      <c r="M41" s="8">
        <f>B$14</f>
        <v>0.05</v>
      </c>
      <c r="N41" s="8">
        <f>J41*SUM(M$37:M41)*B$5</f>
        <v>23883.17231260152</v>
      </c>
      <c r="O41" s="8">
        <f t="shared" si="10"/>
        <v>900395.59618507733</v>
      </c>
      <c r="P41" s="11">
        <f t="shared" si="11"/>
        <v>16207120731.331392</v>
      </c>
      <c r="Q41" s="11">
        <f t="shared" si="12"/>
        <v>15044427163.95417</v>
      </c>
      <c r="R41" s="11">
        <f t="shared" si="13"/>
        <v>703633059.68488109</v>
      </c>
      <c r="S41" s="11">
        <f t="shared" si="14"/>
        <v>592440155.56923223</v>
      </c>
      <c r="T41" s="11">
        <f t="shared" si="17"/>
        <v>1350000000</v>
      </c>
      <c r="U41" s="12">
        <f t="shared" si="15"/>
        <v>1136663775.2590075</v>
      </c>
    </row>
    <row r="42" spans="1:21" x14ac:dyDescent="0.2">
      <c r="B42" s="32"/>
      <c r="F42" s="19" t="s">
        <v>41</v>
      </c>
      <c r="G42" s="30">
        <f>SUM(S37:S46)</f>
        <v>11469583617.347462</v>
      </c>
      <c r="H42" s="8"/>
      <c r="I42" s="8">
        <v>6</v>
      </c>
      <c r="J42" s="8">
        <f t="shared" si="16"/>
        <v>812027.85862845182</v>
      </c>
      <c r="K42" s="8"/>
      <c r="L42" s="8">
        <v>6</v>
      </c>
      <c r="M42" s="8">
        <f t="shared" ref="M42:M65" si="18">M41*$B$15</f>
        <v>4.9000000000000002E-2</v>
      </c>
      <c r="N42" s="8">
        <f>J42*SUM(M$37:M42)*B$5</f>
        <v>48234.454802530039</v>
      </c>
      <c r="O42" s="8">
        <f t="shared" si="10"/>
        <v>1818438.9460553827</v>
      </c>
      <c r="P42" s="11">
        <f t="shared" si="11"/>
        <v>32731901028.996887</v>
      </c>
      <c r="Q42" s="11">
        <f t="shared" si="12"/>
        <v>29934704532.336803</v>
      </c>
      <c r="R42" s="11">
        <f t="shared" si="13"/>
        <v>1421057327.3395863</v>
      </c>
      <c r="S42" s="11">
        <f t="shared" si="14"/>
        <v>1156031051.3890066</v>
      </c>
      <c r="T42" s="11">
        <f t="shared" si="17"/>
        <v>1619999999.9999998</v>
      </c>
      <c r="U42" s="12">
        <f t="shared" si="15"/>
        <v>1317871043.7785594</v>
      </c>
    </row>
    <row r="43" spans="1:21" x14ac:dyDescent="0.2">
      <c r="A43" s="3" t="s">
        <v>90</v>
      </c>
      <c r="B43" s="134" t="s">
        <v>68</v>
      </c>
      <c r="C43" s="134" t="s">
        <v>67</v>
      </c>
      <c r="D43" t="s">
        <v>127</v>
      </c>
      <c r="F43" s="13" t="s">
        <v>39</v>
      </c>
      <c r="G43" s="22">
        <f>G41</f>
        <v>310631544590.51147</v>
      </c>
      <c r="H43" s="8"/>
      <c r="I43" s="8">
        <v>7</v>
      </c>
      <c r="J43" s="8">
        <f t="shared" si="16"/>
        <v>828268.41580102069</v>
      </c>
      <c r="K43" s="8"/>
      <c r="L43" s="8">
        <v>7</v>
      </c>
      <c r="M43" s="8">
        <f t="shared" si="18"/>
        <v>4.802E-2</v>
      </c>
      <c r="N43" s="8">
        <f>J43*SUM(M$37:M43)*B$5</f>
        <v>73063.21349463964</v>
      </c>
      <c r="O43" s="8">
        <f t="shared" si="10"/>
        <v>2754483.1487479145</v>
      </c>
      <c r="P43" s="11">
        <f t="shared" si="11"/>
        <v>49580696677.462463</v>
      </c>
      <c r="Q43" s="11">
        <f t="shared" si="12"/>
        <v>44673536005.881866</v>
      </c>
      <c r="R43" s="11">
        <f t="shared" si="13"/>
        <v>2152548739.7048001</v>
      </c>
      <c r="S43" s="11">
        <f t="shared" si="14"/>
        <v>1691883851.8393202</v>
      </c>
      <c r="T43" s="11">
        <f t="shared" si="17"/>
        <v>1890000000</v>
      </c>
      <c r="U43" s="12">
        <f t="shared" si="15"/>
        <v>1485522915.6924183</v>
      </c>
    </row>
    <row r="44" spans="1:21" x14ac:dyDescent="0.2">
      <c r="A44" t="s">
        <v>190</v>
      </c>
      <c r="B44" s="135">
        <v>2578</v>
      </c>
      <c r="C44" s="135">
        <v>48468</v>
      </c>
      <c r="D44" s="121">
        <f t="shared" ref="D44:D49" si="19">C44/B44</f>
        <v>18.800620636152058</v>
      </c>
      <c r="F44" s="17"/>
      <c r="G44" s="24"/>
      <c r="H44" s="8"/>
      <c r="I44" s="8">
        <v>8</v>
      </c>
      <c r="J44" s="8">
        <f t="shared" si="16"/>
        <v>844833.78411704104</v>
      </c>
      <c r="K44" s="8"/>
      <c r="L44" s="8">
        <v>8</v>
      </c>
      <c r="M44" s="8">
        <f t="shared" si="18"/>
        <v>4.70596E-2</v>
      </c>
      <c r="N44" s="8">
        <f>J44*SUM(M$37:M44)*B$5</f>
        <v>98379.001732753022</v>
      </c>
      <c r="O44" s="8">
        <f t="shared" si="10"/>
        <v>3708888.3653247892</v>
      </c>
      <c r="P44" s="11">
        <f t="shared" si="11"/>
        <v>66759990575.846207</v>
      </c>
      <c r="Q44" s="11">
        <f t="shared" si="12"/>
        <v>59263586259.027756</v>
      </c>
      <c r="R44" s="11">
        <f t="shared" si="13"/>
        <v>2898388752.2109919</v>
      </c>
      <c r="S44" s="11">
        <f t="shared" si="14"/>
        <v>2201069912.8362255</v>
      </c>
      <c r="T44" s="11">
        <f t="shared" si="17"/>
        <v>2160000000</v>
      </c>
      <c r="U44" s="12">
        <f t="shared" si="15"/>
        <v>1640328961.4271009</v>
      </c>
    </row>
    <row r="45" spans="1:21" x14ac:dyDescent="0.2">
      <c r="A45" t="s">
        <v>191</v>
      </c>
      <c r="B45" s="135">
        <v>1371</v>
      </c>
      <c r="C45" s="135">
        <v>20343</v>
      </c>
      <c r="D45" s="121">
        <f t="shared" si="19"/>
        <v>14.838074398249454</v>
      </c>
      <c r="F45" s="42" t="s">
        <v>29</v>
      </c>
      <c r="G45" s="22"/>
      <c r="H45" s="8"/>
      <c r="I45" s="8">
        <v>9</v>
      </c>
      <c r="J45" s="8">
        <f t="shared" si="16"/>
        <v>861730.45979938179</v>
      </c>
      <c r="K45" s="8"/>
      <c r="L45" s="8">
        <v>9</v>
      </c>
      <c r="M45" s="8">
        <f t="shared" si="18"/>
        <v>4.6118408E-2</v>
      </c>
      <c r="N45" s="8">
        <f>J45*SUM(M$37:M45)*B$5</f>
        <v>124191.56392604134</v>
      </c>
      <c r="O45" s="8">
        <f t="shared" si="10"/>
        <v>4682021.9600117588</v>
      </c>
      <c r="P45" s="11">
        <f t="shared" si="11"/>
        <v>84276395280.211655</v>
      </c>
      <c r="Q45" s="11">
        <f t="shared" si="12"/>
        <v>73707481343.933914</v>
      </c>
      <c r="R45" s="11">
        <f t="shared" si="13"/>
        <v>3658864449.352221</v>
      </c>
      <c r="S45" s="11">
        <f t="shared" si="14"/>
        <v>2684622169.5332217</v>
      </c>
      <c r="T45" s="11">
        <f t="shared" si="17"/>
        <v>2429999999.9999995</v>
      </c>
      <c r="U45" s="12">
        <f t="shared" si="15"/>
        <v>1782966262.4207618</v>
      </c>
    </row>
    <row r="46" spans="1:21" x14ac:dyDescent="0.2">
      <c r="A46" t="s">
        <v>192</v>
      </c>
      <c r="B46" s="135">
        <v>821</v>
      </c>
      <c r="C46" s="135">
        <v>15396</v>
      </c>
      <c r="D46" s="121">
        <f t="shared" si="19"/>
        <v>18.752740560292327</v>
      </c>
      <c r="F46" s="42" t="s">
        <v>13</v>
      </c>
      <c r="G46" s="43" t="s">
        <v>1</v>
      </c>
      <c r="H46" s="8"/>
      <c r="I46" s="8">
        <v>10</v>
      </c>
      <c r="J46" s="8">
        <f t="shared" si="16"/>
        <v>878965.0689953696</v>
      </c>
      <c r="K46" s="8"/>
      <c r="L46" s="8">
        <v>10</v>
      </c>
      <c r="M46" s="8">
        <f t="shared" si="18"/>
        <v>4.519603984E-2</v>
      </c>
      <c r="N46" s="8">
        <f>J46*SUM(M$37:M46)*B$5</f>
        <v>150510.83937033205</v>
      </c>
      <c r="O46" s="8">
        <f t="shared" si="10"/>
        <v>5674258.6442615185</v>
      </c>
      <c r="P46" s="11">
        <f t="shared" si="11"/>
        <v>102136655596.70734</v>
      </c>
      <c r="Q46" s="11">
        <f t="shared" si="12"/>
        <v>88007809285.376968</v>
      </c>
      <c r="R46" s="11">
        <f t="shared" si="13"/>
        <v>4434268657.2674379</v>
      </c>
      <c r="S46" s="11">
        <f t="shared" si="14"/>
        <v>3143536476.1804557</v>
      </c>
      <c r="T46" s="11">
        <f t="shared" si="17"/>
        <v>2700000000</v>
      </c>
      <c r="U46" s="12">
        <f t="shared" si="15"/>
        <v>1914080797.0163846</v>
      </c>
    </row>
    <row r="47" spans="1:21" x14ac:dyDescent="0.2">
      <c r="A47" t="s">
        <v>193</v>
      </c>
      <c r="B47" s="135">
        <v>757</v>
      </c>
      <c r="C47" s="135">
        <v>11854</v>
      </c>
      <c r="D47" s="121">
        <f t="shared" si="19"/>
        <v>15.659180977542933</v>
      </c>
      <c r="F47" s="13" t="s">
        <v>47</v>
      </c>
      <c r="G47" s="22">
        <f>SUM(U37:U46)</f>
        <v>11714130296.515038</v>
      </c>
      <c r="H47" s="8"/>
      <c r="I47" s="8">
        <v>11</v>
      </c>
      <c r="J47" s="8">
        <f t="shared" si="16"/>
        <v>896544.37037527678</v>
      </c>
      <c r="K47" s="8"/>
      <c r="L47" s="8">
        <v>11</v>
      </c>
      <c r="M47" s="8">
        <f t="shared" si="18"/>
        <v>4.4292119043199997E-2</v>
      </c>
      <c r="N47" s="8">
        <f>J47*SUM(M$37:M47)*B$5</f>
        <v>177346.96614584219</v>
      </c>
      <c r="O47" s="8">
        <f t="shared" si="10"/>
        <v>6685980.6236982513</v>
      </c>
      <c r="P47" s="11">
        <f t="shared" si="11"/>
        <v>120347651226.56853</v>
      </c>
      <c r="Q47" s="11">
        <f t="shared" si="12"/>
        <v>102167120666.66431</v>
      </c>
      <c r="R47" s="11">
        <f t="shared" si="13"/>
        <v>5224900058.5733862</v>
      </c>
      <c r="S47" s="11">
        <f t="shared" si="14"/>
        <v>3578772899.7835398</v>
      </c>
      <c r="T47" s="11">
        <f>T46</f>
        <v>2700000000</v>
      </c>
      <c r="U47" s="12">
        <f t="shared" si="15"/>
        <v>1849353427.0689707</v>
      </c>
    </row>
    <row r="48" spans="1:21" x14ac:dyDescent="0.2">
      <c r="A48" t="s">
        <v>194</v>
      </c>
      <c r="B48" s="135">
        <v>448</v>
      </c>
      <c r="C48" s="135">
        <v>6599</v>
      </c>
      <c r="D48" s="121">
        <f t="shared" si="19"/>
        <v>14.729910714285714</v>
      </c>
      <c r="F48" s="13"/>
      <c r="G48" s="22"/>
      <c r="H48" s="8"/>
      <c r="I48" s="8">
        <v>12</v>
      </c>
      <c r="J48" s="8">
        <f t="shared" si="16"/>
        <v>914475.25778278243</v>
      </c>
      <c r="K48" s="8"/>
      <c r="L48" s="8">
        <v>12</v>
      </c>
      <c r="M48" s="8">
        <f t="shared" si="18"/>
        <v>4.3406276662335999E-2</v>
      </c>
      <c r="N48" s="8">
        <f>J48*SUM(M$37:M48)*B$5</f>
        <v>204710.28509286733</v>
      </c>
      <c r="O48" s="8">
        <f t="shared" si="10"/>
        <v>7717577.7480010986</v>
      </c>
      <c r="P48" s="11">
        <f t="shared" si="11"/>
        <v>138916399464.01978</v>
      </c>
      <c r="Q48" s="11">
        <f t="shared" si="12"/>
        <v>116187929206.70251</v>
      </c>
      <c r="R48" s="11">
        <f t="shared" si="13"/>
        <v>6031063309.4941902</v>
      </c>
      <c r="S48" s="11">
        <f t="shared" si="14"/>
        <v>3991256969.147615</v>
      </c>
      <c r="T48" s="11">
        <f t="shared" ref="T48:T66" si="20">T47</f>
        <v>2700000000</v>
      </c>
      <c r="U48" s="12">
        <f t="shared" si="15"/>
        <v>1786814905.3806481</v>
      </c>
    </row>
    <row r="49" spans="1:21" x14ac:dyDescent="0.2">
      <c r="A49" t="s">
        <v>195</v>
      </c>
      <c r="B49" s="135">
        <v>442</v>
      </c>
      <c r="C49" s="135">
        <v>6752</v>
      </c>
      <c r="D49" s="121">
        <f t="shared" si="19"/>
        <v>15.276018099547512</v>
      </c>
      <c r="F49" s="45" t="s">
        <v>32</v>
      </c>
      <c r="G49" s="25">
        <f>G43-G47</f>
        <v>298917414293.99646</v>
      </c>
      <c r="H49" s="8"/>
      <c r="I49" s="8">
        <v>13</v>
      </c>
      <c r="J49" s="8">
        <f t="shared" si="16"/>
        <v>932764.7629384381</v>
      </c>
      <c r="K49" s="8"/>
      <c r="L49" s="8">
        <v>13</v>
      </c>
      <c r="M49" s="8">
        <f t="shared" si="18"/>
        <v>4.2538151129089277E-2</v>
      </c>
      <c r="N49" s="8">
        <f>J49*SUM(M$37:M49)*B$5</f>
        <v>232611.34386698334</v>
      </c>
      <c r="O49" s="8">
        <f t="shared" si="10"/>
        <v>8769447.6637852732</v>
      </c>
      <c r="P49" s="11">
        <f t="shared" si="11"/>
        <v>157850057948.13492</v>
      </c>
      <c r="Q49" s="11">
        <f t="shared" si="12"/>
        <v>130072712328.35416</v>
      </c>
      <c r="R49" s="11">
        <f t="shared" si="13"/>
        <v>6853069159.3335114</v>
      </c>
      <c r="S49" s="11">
        <f t="shared" si="14"/>
        <v>4381880880.8379126</v>
      </c>
      <c r="T49" s="11">
        <f t="shared" si="20"/>
        <v>2700000000</v>
      </c>
      <c r="U49" s="12">
        <f t="shared" si="15"/>
        <v>1726391212.9281623</v>
      </c>
    </row>
    <row r="50" spans="1:21" ht="16" thickBot="1" x14ac:dyDescent="0.25">
      <c r="A50" s="3" t="s">
        <v>89</v>
      </c>
      <c r="B50" s="136">
        <f>SUM(B44:B49)</f>
        <v>6417</v>
      </c>
      <c r="C50" s="136">
        <f>SUM(C44:C49)</f>
        <v>109412</v>
      </c>
      <c r="D50"/>
      <c r="F50" s="46" t="s">
        <v>33</v>
      </c>
      <c r="G50" s="26">
        <f>G43/G47</f>
        <v>26.517678797112627</v>
      </c>
      <c r="H50" s="8"/>
      <c r="I50" s="8">
        <v>14</v>
      </c>
      <c r="J50" s="8">
        <f t="shared" si="16"/>
        <v>951420.05819720682</v>
      </c>
      <c r="K50" s="8"/>
      <c r="L50" s="8">
        <v>14</v>
      </c>
      <c r="M50" s="8">
        <f t="shared" si="18"/>
        <v>4.1687388106507489E-2</v>
      </c>
      <c r="N50" s="8">
        <f>J50*SUM(M$37:M50)*B$5</f>
        <v>261060.90107535274</v>
      </c>
      <c r="O50" s="8">
        <f t="shared" si="10"/>
        <v>9841995.9705407992</v>
      </c>
      <c r="P50" s="11">
        <f t="shared" si="11"/>
        <v>177155927469.73438</v>
      </c>
      <c r="Q50" s="11">
        <f t="shared" si="12"/>
        <v>143823911718.21591</v>
      </c>
      <c r="R50" s="11">
        <f t="shared" si="13"/>
        <v>7691234572.3361578</v>
      </c>
      <c r="S50" s="11">
        <f t="shared" si="14"/>
        <v>4751504663.5356731</v>
      </c>
      <c r="T50" s="11">
        <f t="shared" si="20"/>
        <v>2700000000</v>
      </c>
      <c r="U50" s="12">
        <f t="shared" si="15"/>
        <v>1668010833.7470171</v>
      </c>
    </row>
    <row r="51" spans="1:21" ht="16" thickBot="1" x14ac:dyDescent="0.25">
      <c r="D51"/>
      <c r="F51" s="17"/>
      <c r="G51" s="27"/>
      <c r="H51" s="8"/>
      <c r="I51" s="8">
        <v>15</v>
      </c>
      <c r="J51" s="8">
        <f t="shared" si="16"/>
        <v>970448.45936115086</v>
      </c>
      <c r="K51" s="8"/>
      <c r="L51" s="8">
        <v>15</v>
      </c>
      <c r="M51" s="8">
        <f t="shared" si="18"/>
        <v>4.0853640344377336E-2</v>
      </c>
      <c r="N51" s="8">
        <f>J51*SUM(M$37:M51)*B$5</f>
        <v>290069.93049575709</v>
      </c>
      <c r="O51" s="8">
        <f t="shared" si="10"/>
        <v>10935636.379690044</v>
      </c>
      <c r="P51" s="11">
        <f t="shared" si="11"/>
        <v>196841454834.42078</v>
      </c>
      <c r="Q51" s="11">
        <f t="shared" si="12"/>
        <v>157443933877.94824</v>
      </c>
      <c r="R51" s="11">
        <f t="shared" si="13"/>
        <v>8545882851.9869299</v>
      </c>
      <c r="S51" s="11">
        <f t="shared" si="14"/>
        <v>5100957302.2175903</v>
      </c>
      <c r="T51" s="11">
        <f t="shared" si="20"/>
        <v>2700000000</v>
      </c>
      <c r="U51" s="12">
        <f t="shared" si="15"/>
        <v>1611604670.286973</v>
      </c>
    </row>
    <row r="52" spans="1:21" x14ac:dyDescent="0.2">
      <c r="B52"/>
      <c r="C52"/>
      <c r="D52"/>
      <c r="F52" s="47" t="s">
        <v>43</v>
      </c>
      <c r="G52" s="21">
        <v>30</v>
      </c>
      <c r="H52" s="8"/>
      <c r="I52" s="8">
        <v>16</v>
      </c>
      <c r="J52" s="8">
        <f t="shared" si="16"/>
        <v>989857.42854837398</v>
      </c>
      <c r="K52" s="8"/>
      <c r="L52" s="8">
        <v>16</v>
      </c>
      <c r="M52" s="8">
        <f t="shared" si="18"/>
        <v>4.0036567537489791E-2</v>
      </c>
      <c r="N52" s="8">
        <f>J52*SUM(M$37:M52)*B$5</f>
        <v>319649.62538000999</v>
      </c>
      <c r="O52" s="8">
        <f t="shared" si="10"/>
        <v>12050790.876826378</v>
      </c>
      <c r="P52" s="11">
        <f t="shared" si="11"/>
        <v>216914235782.87479</v>
      </c>
      <c r="Q52" s="11">
        <f t="shared" si="12"/>
        <v>170935150667.28488</v>
      </c>
      <c r="R52" s="11">
        <f t="shared" si="13"/>
        <v>9417343767.7954369</v>
      </c>
      <c r="S52" s="11">
        <f t="shared" si="14"/>
        <v>5431037823.5380383</v>
      </c>
      <c r="T52" s="11">
        <f t="shared" si="20"/>
        <v>2700000000</v>
      </c>
      <c r="U52" s="12">
        <f t="shared" si="15"/>
        <v>1557105961.629926</v>
      </c>
    </row>
    <row r="53" spans="1:21" x14ac:dyDescent="0.2">
      <c r="B53"/>
      <c r="C53"/>
      <c r="D53"/>
      <c r="F53" s="42" t="s">
        <v>12</v>
      </c>
      <c r="G53" s="22"/>
      <c r="H53" s="8"/>
      <c r="I53" s="8">
        <v>17</v>
      </c>
      <c r="J53" s="8">
        <f t="shared" si="16"/>
        <v>1009654.5771193416</v>
      </c>
      <c r="K53" s="8"/>
      <c r="L53" s="8">
        <v>17</v>
      </c>
      <c r="M53" s="8">
        <f t="shared" si="18"/>
        <v>3.9235836186739995E-2</v>
      </c>
      <c r="N53" s="8">
        <f>J53*SUM(M$37:M53)*B$5</f>
        <v>349811.40284343826</v>
      </c>
      <c r="O53" s="8">
        <f t="shared" si="10"/>
        <v>13187889.887197623</v>
      </c>
      <c r="P53" s="11">
        <f t="shared" si="11"/>
        <v>237382017969.55722</v>
      </c>
      <c r="Q53" s="11">
        <f t="shared" si="12"/>
        <v>184299899838.84915</v>
      </c>
      <c r="R53" s="11">
        <f t="shared" si="13"/>
        <v>10305953684.616608</v>
      </c>
      <c r="S53" s="11">
        <f t="shared" si="14"/>
        <v>5742516343.7460804</v>
      </c>
      <c r="T53" s="11">
        <f t="shared" si="20"/>
        <v>2700000000</v>
      </c>
      <c r="U53" s="12">
        <f t="shared" si="15"/>
        <v>1504450204.4733584</v>
      </c>
    </row>
    <row r="54" spans="1:21" x14ac:dyDescent="0.2">
      <c r="A54" t="s">
        <v>196</v>
      </c>
      <c r="B54">
        <v>7576</v>
      </c>
      <c r="C54">
        <v>7576</v>
      </c>
      <c r="D54"/>
      <c r="F54" s="42" t="s">
        <v>13</v>
      </c>
      <c r="G54" s="43" t="s">
        <v>1</v>
      </c>
      <c r="H54" s="8"/>
      <c r="I54" s="8">
        <v>18</v>
      </c>
      <c r="J54" s="8">
        <f t="shared" si="16"/>
        <v>1029847.6686617283</v>
      </c>
      <c r="K54" s="8"/>
      <c r="L54" s="8">
        <v>18</v>
      </c>
      <c r="M54" s="8">
        <f t="shared" si="18"/>
        <v>3.8451119463005196E-2</v>
      </c>
      <c r="N54" s="8">
        <f>J54*SUM(M$37:M54)*B$5</f>
        <v>380566.90834215266</v>
      </c>
      <c r="O54" s="8">
        <f t="shared" si="10"/>
        <v>14347372.444499156</v>
      </c>
      <c r="P54" s="11">
        <f t="shared" si="11"/>
        <v>258252704000.9848</v>
      </c>
      <c r="Q54" s="11">
        <f t="shared" si="12"/>
        <v>197540485564.90033</v>
      </c>
      <c r="R54" s="11">
        <f t="shared" si="13"/>
        <v>11212055694.557613</v>
      </c>
      <c r="S54" s="11">
        <f t="shared" si="14"/>
        <v>6036135080.4236488</v>
      </c>
      <c r="T54" s="11">
        <f t="shared" si="20"/>
        <v>2700000000</v>
      </c>
      <c r="U54" s="12">
        <f t="shared" si="15"/>
        <v>1453575076.7858536</v>
      </c>
    </row>
    <row r="55" spans="1:21" x14ac:dyDescent="0.2">
      <c r="A55" t="s">
        <v>197</v>
      </c>
      <c r="B55">
        <v>6416</v>
      </c>
      <c r="C55">
        <v>6416</v>
      </c>
      <c r="D55"/>
      <c r="F55" s="13" t="s">
        <v>22</v>
      </c>
      <c r="G55" s="23">
        <f>SUM(N37:N66)</f>
        <v>9932890.723405011</v>
      </c>
      <c r="H55" s="8"/>
      <c r="I55" s="8">
        <v>19</v>
      </c>
      <c r="J55" s="8">
        <f t="shared" si="16"/>
        <v>1050444.6220349628</v>
      </c>
      <c r="K55" s="8"/>
      <c r="L55" s="8">
        <v>19</v>
      </c>
      <c r="M55" s="8">
        <f t="shared" si="18"/>
        <v>3.7682097073745091E-2</v>
      </c>
      <c r="N55" s="8">
        <f>J55*SUM(M$37:M55)*B$5</f>
        <v>411928.02023986465</v>
      </c>
      <c r="O55" s="8">
        <f t="shared" si="10"/>
        <v>15529686.363042898</v>
      </c>
      <c r="P55" s="11">
        <f t="shared" si="11"/>
        <v>279534354534.77216</v>
      </c>
      <c r="Q55" s="11">
        <f t="shared" si="12"/>
        <v>210659178956.1348</v>
      </c>
      <c r="R55" s="11">
        <f t="shared" si="13"/>
        <v>12135999751.52294</v>
      </c>
      <c r="S55" s="11">
        <f t="shared" si="14"/>
        <v>6312609329.2871933</v>
      </c>
      <c r="T55" s="11">
        <f t="shared" si="20"/>
        <v>2700000000</v>
      </c>
      <c r="U55" s="12">
        <f t="shared" si="15"/>
        <v>1404420364.0443034</v>
      </c>
    </row>
    <row r="56" spans="1:21" x14ac:dyDescent="0.2">
      <c r="A56" t="s">
        <v>198</v>
      </c>
      <c r="B56" s="131">
        <f>B55/B54</f>
        <v>0.84688489968321012</v>
      </c>
      <c r="C56" s="131"/>
      <c r="D56"/>
      <c r="F56" s="13" t="s">
        <v>23</v>
      </c>
      <c r="G56" s="22">
        <f>G55*B$20</f>
        <v>374469980.27236897</v>
      </c>
      <c r="H56" s="8"/>
      <c r="I56" s="8">
        <v>20</v>
      </c>
      <c r="J56" s="8">
        <f t="shared" si="16"/>
        <v>1071453.5144756623</v>
      </c>
      <c r="K56" s="8"/>
      <c r="L56" s="8">
        <v>20</v>
      </c>
      <c r="M56" s="8">
        <f t="shared" si="18"/>
        <v>3.6928455132270187E-2</v>
      </c>
      <c r="N56" s="8">
        <f>J56*SUM(M$37:M56)*B$5</f>
        <v>443906.8544660387</v>
      </c>
      <c r="O56" s="8">
        <f t="shared" si="10"/>
        <v>16735288.413369659</v>
      </c>
      <c r="P56" s="11">
        <f t="shared" si="11"/>
        <v>301235191440.65387</v>
      </c>
      <c r="Q56" s="11">
        <f t="shared" si="12"/>
        <v>223658218572.66052</v>
      </c>
      <c r="R56" s="11">
        <f t="shared" si="13"/>
        <v>13078142808.450348</v>
      </c>
      <c r="S56" s="11">
        <f t="shared" si="14"/>
        <v>6572628407.2525406</v>
      </c>
      <c r="T56" s="11">
        <f t="shared" si="20"/>
        <v>2700000000</v>
      </c>
      <c r="U56" s="12">
        <f t="shared" si="15"/>
        <v>1356927887.9655104</v>
      </c>
    </row>
    <row r="57" spans="1:21" x14ac:dyDescent="0.2">
      <c r="B57"/>
      <c r="C57"/>
      <c r="D57"/>
      <c r="F57" s="13" t="s">
        <v>37</v>
      </c>
      <c r="G57" s="22">
        <f>SUM(Q37:Q66)</f>
        <v>4874163495140.1953</v>
      </c>
      <c r="H57" s="8"/>
      <c r="I57" s="8">
        <v>21</v>
      </c>
      <c r="J57" s="8">
        <f t="shared" si="16"/>
        <v>1092882.5847651754</v>
      </c>
      <c r="K57" s="8"/>
      <c r="L57" s="8">
        <v>21</v>
      </c>
      <c r="M57" s="8">
        <f t="shared" si="18"/>
        <v>3.6189886029624779E-2</v>
      </c>
      <c r="N57" s="8">
        <f>J57*SUM(M$37:M57)*B$5</f>
        <v>476515.76926720748</v>
      </c>
      <c r="O57" s="8">
        <f t="shared" si="10"/>
        <v>17964644.501373723</v>
      </c>
      <c r="P57" s="11">
        <f t="shared" si="11"/>
        <v>323363601024.72699</v>
      </c>
      <c r="Q57" s="11">
        <f t="shared" si="12"/>
        <v>236539810927.26523</v>
      </c>
      <c r="R57" s="11">
        <f t="shared" si="13"/>
        <v>14038848957.29154</v>
      </c>
      <c r="S57" s="11">
        <f t="shared" si="14"/>
        <v>6816856562.9216022</v>
      </c>
      <c r="T57" s="11">
        <f t="shared" si="20"/>
        <v>2700000000</v>
      </c>
      <c r="U57" s="12">
        <f t="shared" si="15"/>
        <v>1311041437.6478362</v>
      </c>
    </row>
    <row r="58" spans="1:21" x14ac:dyDescent="0.2">
      <c r="A58" t="s">
        <v>199</v>
      </c>
      <c r="B58"/>
      <c r="C58" s="121">
        <f>C50/C55</f>
        <v>17.052992518703242</v>
      </c>
      <c r="D58"/>
      <c r="F58" s="19" t="s">
        <v>41</v>
      </c>
      <c r="G58" s="30">
        <f>SUM(S37:S66)</f>
        <v>140221292434.23856</v>
      </c>
      <c r="H58" s="8"/>
      <c r="I58" s="8">
        <v>22</v>
      </c>
      <c r="J58" s="8">
        <f t="shared" si="16"/>
        <v>1114740.2364604787</v>
      </c>
      <c r="K58" s="8"/>
      <c r="L58" s="8">
        <v>22</v>
      </c>
      <c r="M58" s="8">
        <f t="shared" si="18"/>
        <v>3.5466088309032286E-2</v>
      </c>
      <c r="N58" s="8">
        <f>J58*SUM(M$37:M58)*B$5</f>
        <v>509767.37005331489</v>
      </c>
      <c r="O58" s="8">
        <f t="shared" si="10"/>
        <v>19218229.851009972</v>
      </c>
      <c r="P58" s="11">
        <f t="shared" si="11"/>
        <v>345928137318.1795</v>
      </c>
      <c r="Q58" s="11">
        <f t="shared" si="12"/>
        <v>249306130981.09586</v>
      </c>
      <c r="R58" s="11">
        <f t="shared" si="13"/>
        <v>15018489571.792488</v>
      </c>
      <c r="S58" s="11">
        <f t="shared" si="14"/>
        <v>7045933855.6098986</v>
      </c>
      <c r="T58" s="11">
        <f t="shared" si="20"/>
        <v>2700000000</v>
      </c>
      <c r="U58" s="12">
        <f t="shared" si="15"/>
        <v>1266706703.0413878</v>
      </c>
    </row>
    <row r="59" spans="1:21" x14ac:dyDescent="0.2">
      <c r="B59" s="32"/>
      <c r="F59" s="13" t="s">
        <v>39</v>
      </c>
      <c r="G59" s="22">
        <f>G57</f>
        <v>4874163495140.1953</v>
      </c>
      <c r="H59" s="8"/>
      <c r="I59" s="8">
        <v>23</v>
      </c>
      <c r="J59" s="8">
        <f t="shared" si="16"/>
        <v>1137035.0411896883</v>
      </c>
      <c r="K59" s="8"/>
      <c r="L59" s="8">
        <v>23</v>
      </c>
      <c r="M59" s="8">
        <f t="shared" si="18"/>
        <v>3.475676654285164E-2</v>
      </c>
      <c r="N59" s="8">
        <f>J59*SUM(M$37:M59)*B$5</f>
        <v>543674.51434098417</v>
      </c>
      <c r="O59" s="8">
        <f t="shared" si="10"/>
        <v>20496529.190655105</v>
      </c>
      <c r="P59" s="11">
        <f t="shared" si="11"/>
        <v>368937525431.79187</v>
      </c>
      <c r="Q59" s="11">
        <f t="shared" si="12"/>
        <v>261959322631.86221</v>
      </c>
      <c r="R59" s="11">
        <f t="shared" si="13"/>
        <v>16017443453.129313</v>
      </c>
      <c r="S59" s="11">
        <f t="shared" si="14"/>
        <v>7260477003.9954538</v>
      </c>
      <c r="T59" s="11">
        <f t="shared" si="20"/>
        <v>2700000000</v>
      </c>
      <c r="U59" s="12">
        <f t="shared" si="15"/>
        <v>1223871210.6680076</v>
      </c>
    </row>
    <row r="60" spans="1:21" x14ac:dyDescent="0.2">
      <c r="B60" s="32"/>
      <c r="F60" s="17"/>
      <c r="G60" s="24"/>
      <c r="H60" s="8"/>
      <c r="I60" s="8">
        <v>24</v>
      </c>
      <c r="J60" s="8">
        <f t="shared" si="16"/>
        <v>1159775.7420134821</v>
      </c>
      <c r="K60" s="8"/>
      <c r="L60" s="8">
        <v>24</v>
      </c>
      <c r="M60" s="8">
        <f t="shared" si="18"/>
        <v>3.4061631211994604E-2</v>
      </c>
      <c r="N60" s="8">
        <f>J60*SUM(M$37:M60)*B$5</f>
        <v>578250.31679565227</v>
      </c>
      <c r="O60" s="8">
        <f t="shared" si="10"/>
        <v>21800036.943196092</v>
      </c>
      <c r="P60" s="11">
        <f t="shared" si="11"/>
        <v>392400664977.52966</v>
      </c>
      <c r="Q60" s="11">
        <f t="shared" si="12"/>
        <v>274501499194.68185</v>
      </c>
      <c r="R60" s="11">
        <f t="shared" si="13"/>
        <v>17036096978.456915</v>
      </c>
      <c r="S60" s="11">
        <f t="shared" si="14"/>
        <v>7461080205.4326887</v>
      </c>
      <c r="T60" s="11">
        <f t="shared" si="20"/>
        <v>2700000000</v>
      </c>
      <c r="U60" s="12">
        <f t="shared" si="15"/>
        <v>1182484261.5149832</v>
      </c>
    </row>
    <row r="61" spans="1:21" x14ac:dyDescent="0.2">
      <c r="A61" s="31"/>
      <c r="B61" s="31"/>
      <c r="C61" s="31"/>
      <c r="D61" s="31"/>
      <c r="F61" s="42" t="s">
        <v>29</v>
      </c>
      <c r="G61" s="22"/>
      <c r="H61" s="8"/>
      <c r="I61" s="8">
        <v>25</v>
      </c>
      <c r="J61" s="8">
        <f t="shared" si="16"/>
        <v>1182971.2568537516</v>
      </c>
      <c r="K61" s="8"/>
      <c r="L61" s="8">
        <v>25</v>
      </c>
      <c r="M61" s="8">
        <f t="shared" si="18"/>
        <v>3.3380398587754712E-2</v>
      </c>
      <c r="N61" s="8">
        <f>J61*SUM(M$37:M61)*B$5</f>
        <v>613508.15437454649</v>
      </c>
      <c r="O61" s="8">
        <f t="shared" si="10"/>
        <v>23129257.419920404</v>
      </c>
      <c r="P61" s="11">
        <f t="shared" si="11"/>
        <v>416326633558.56726</v>
      </c>
      <c r="Q61" s="11">
        <f t="shared" si="12"/>
        <v>286934743875.67517</v>
      </c>
      <c r="R61" s="11">
        <f t="shared" si="13"/>
        <v>18074844252.428562</v>
      </c>
      <c r="S61" s="11">
        <f t="shared" si="14"/>
        <v>7648315926.939105</v>
      </c>
      <c r="T61" s="11">
        <f t="shared" si="20"/>
        <v>2700000000</v>
      </c>
      <c r="U61" s="12">
        <f t="shared" si="15"/>
        <v>1142496871.0289695</v>
      </c>
    </row>
    <row r="62" spans="1:21" x14ac:dyDescent="0.2">
      <c r="A62" s="31"/>
      <c r="B62" s="31"/>
      <c r="C62" s="31"/>
      <c r="D62" s="31"/>
      <c r="F62" s="42" t="s">
        <v>13</v>
      </c>
      <c r="G62" s="43" t="s">
        <v>1</v>
      </c>
      <c r="H62" s="8"/>
      <c r="I62" s="8">
        <v>26</v>
      </c>
      <c r="J62" s="8">
        <f t="shared" si="16"/>
        <v>1206630.681990827</v>
      </c>
      <c r="K62" s="8"/>
      <c r="L62" s="8">
        <v>26</v>
      </c>
      <c r="M62" s="8">
        <f t="shared" si="18"/>
        <v>3.2712790615999618E-2</v>
      </c>
      <c r="N62" s="8">
        <f>J62*SUM(M$37:M62)*B$5</f>
        <v>649461.67157252168</v>
      </c>
      <c r="O62" s="8">
        <f t="shared" si="10"/>
        <v>24484705.018284068</v>
      </c>
      <c r="P62" s="11">
        <f t="shared" si="11"/>
        <v>440724690329.11322</v>
      </c>
      <c r="Q62" s="11">
        <f t="shared" si="12"/>
        <v>299261110238.42297</v>
      </c>
      <c r="R62" s="11">
        <f t="shared" si="13"/>
        <v>19134087261.745888</v>
      </c>
      <c r="S62" s="11">
        <f t="shared" si="14"/>
        <v>7822735668.8280325</v>
      </c>
      <c r="T62" s="11">
        <f t="shared" si="20"/>
        <v>2700000000</v>
      </c>
      <c r="U62" s="12">
        <f t="shared" si="15"/>
        <v>1103861711.1391008</v>
      </c>
    </row>
    <row r="63" spans="1:21" x14ac:dyDescent="0.2">
      <c r="A63" t="s">
        <v>200</v>
      </c>
      <c r="B63"/>
      <c r="C63"/>
      <c r="D63"/>
      <c r="F63" s="13" t="s">
        <v>47</v>
      </c>
      <c r="G63" s="22">
        <f>SUM(U37:U66)</f>
        <v>38917818536.234184</v>
      </c>
      <c r="H63" s="8"/>
      <c r="I63" s="8">
        <v>27</v>
      </c>
      <c r="J63" s="8">
        <f t="shared" si="16"/>
        <v>1230763.2956306431</v>
      </c>
      <c r="K63" s="8"/>
      <c r="L63" s="8">
        <v>27</v>
      </c>
      <c r="M63" s="8">
        <f t="shared" si="18"/>
        <v>3.2058534803679622E-2</v>
      </c>
      <c r="N63" s="8">
        <f>J63*SUM(M$37:M63)*B$5</f>
        <v>686124.78577281174</v>
      </c>
      <c r="O63" s="8">
        <f t="shared" si="10"/>
        <v>25866904.423635006</v>
      </c>
      <c r="P63" s="11">
        <f t="shared" si="11"/>
        <v>465604279625.43011</v>
      </c>
      <c r="Q63" s="11">
        <f t="shared" si="12"/>
        <v>311482622663.39325</v>
      </c>
      <c r="R63" s="11">
        <f t="shared" si="13"/>
        <v>20214236032.799839</v>
      </c>
      <c r="S63" s="11">
        <f t="shared" si="14"/>
        <v>7984870701.9273939</v>
      </c>
      <c r="T63" s="11">
        <f t="shared" si="20"/>
        <v>2700000000</v>
      </c>
      <c r="U63" s="12">
        <f t="shared" si="15"/>
        <v>1066533054.2406772</v>
      </c>
    </row>
    <row r="64" spans="1:21" x14ac:dyDescent="0.2">
      <c r="B64" t="s">
        <v>201</v>
      </c>
      <c r="C64" t="s">
        <v>202</v>
      </c>
      <c r="D64" t="s">
        <v>69</v>
      </c>
      <c r="F64" s="13"/>
      <c r="G64" s="22"/>
      <c r="H64" s="8"/>
      <c r="I64" s="8">
        <v>28</v>
      </c>
      <c r="J64" s="8">
        <f t="shared" si="16"/>
        <v>1255378.5615432565</v>
      </c>
      <c r="K64" s="8"/>
      <c r="L64" s="8">
        <v>28</v>
      </c>
      <c r="M64" s="8">
        <f t="shared" si="18"/>
        <v>3.1417364107606031E-2</v>
      </c>
      <c r="N64" s="8">
        <f>J64*SUM(M$37:M64)*B$5</f>
        <v>723511.69270480063</v>
      </c>
      <c r="O64" s="8">
        <f t="shared" si="10"/>
        <v>27276390.814970985</v>
      </c>
      <c r="P64" s="11">
        <f t="shared" si="11"/>
        <v>490975034669.47772</v>
      </c>
      <c r="Q64" s="11">
        <f t="shared" si="12"/>
        <v>323601276800.44641</v>
      </c>
      <c r="R64" s="11">
        <f t="shared" si="13"/>
        <v>21315708792.464558</v>
      </c>
      <c r="S64" s="11">
        <f t="shared" si="14"/>
        <v>8135232779.2922125</v>
      </c>
      <c r="T64" s="11">
        <f t="shared" si="20"/>
        <v>2700000000</v>
      </c>
      <c r="U64" s="12">
        <f t="shared" si="15"/>
        <v>1030466719.0731183</v>
      </c>
    </row>
    <row r="65" spans="1:21" x14ac:dyDescent="0.2">
      <c r="A65" t="s">
        <v>206</v>
      </c>
      <c r="B65">
        <v>774</v>
      </c>
      <c r="C65">
        <f>B54</f>
        <v>7576</v>
      </c>
      <c r="D65" s="133">
        <f>B65*1000000/C65</f>
        <v>102164.73072861669</v>
      </c>
      <c r="F65" s="45" t="s">
        <v>32</v>
      </c>
      <c r="G65" s="25">
        <f>+G59-G63</f>
        <v>4835245676603.9609</v>
      </c>
      <c r="H65" s="8"/>
      <c r="I65" s="8">
        <v>29</v>
      </c>
      <c r="J65" s="8">
        <f t="shared" si="16"/>
        <v>1280486.1327741211</v>
      </c>
      <c r="K65" s="8"/>
      <c r="L65" s="8">
        <v>29</v>
      </c>
      <c r="M65" s="8">
        <f t="shared" si="18"/>
        <v>3.0789016825453909E-2</v>
      </c>
      <c r="N65" s="8">
        <f>J65*SUM(M$37:M65)*B$5</f>
        <v>761636.87201094197</v>
      </c>
      <c r="O65" s="8">
        <f t="shared" si="10"/>
        <v>28713710.074812513</v>
      </c>
      <c r="P65" s="11">
        <f t="shared" si="11"/>
        <v>516846781346.62524</v>
      </c>
      <c r="Q65" s="11">
        <f t="shared" si="12"/>
        <v>335619040014.52063</v>
      </c>
      <c r="R65" s="11">
        <f t="shared" si="13"/>
        <v>22438932132.106949</v>
      </c>
      <c r="S65" s="11">
        <f t="shared" si="14"/>
        <v>8274314823.2873907</v>
      </c>
      <c r="T65" s="11">
        <f t="shared" si="20"/>
        <v>2700000000</v>
      </c>
      <c r="U65" s="12">
        <f t="shared" si="15"/>
        <v>995620018.42813349</v>
      </c>
    </row>
    <row r="66" spans="1:21" ht="16" thickBot="1" x14ac:dyDescent="0.25">
      <c r="A66" t="s">
        <v>207</v>
      </c>
      <c r="B66" s="123">
        <v>14.346399999999999</v>
      </c>
      <c r="C66">
        <v>2578</v>
      </c>
      <c r="D66" s="133">
        <f>B66*1000000/C66</f>
        <v>5564.9340574088437</v>
      </c>
      <c r="F66" s="48" t="s">
        <v>33</v>
      </c>
      <c r="G66" s="28">
        <f>G59/ G63</f>
        <v>125.24246420960458</v>
      </c>
      <c r="H66" s="14"/>
      <c r="I66" s="14">
        <v>30</v>
      </c>
      <c r="J66" s="14">
        <f t="shared" si="16"/>
        <v>1306095.8554296037</v>
      </c>
      <c r="K66" s="14"/>
      <c r="L66" s="14">
        <v>30</v>
      </c>
      <c r="M66" s="14">
        <f>M65*$B$15</f>
        <v>3.0173236488944832E-2</v>
      </c>
      <c r="N66" s="14">
        <f>J66*SUM(M$37:M66)*B$5</f>
        <v>800515.09292502573</v>
      </c>
      <c r="O66" s="14">
        <f t="shared" si="10"/>
        <v>30179419.003273472</v>
      </c>
      <c r="P66" s="15">
        <f t="shared" si="11"/>
        <v>543229542058.92249</v>
      </c>
      <c r="Q66" s="15">
        <f t="shared" si="12"/>
        <v>347537851824.60645</v>
      </c>
      <c r="R66" s="15">
        <f t="shared" si="13"/>
        <v>23584341174.876682</v>
      </c>
      <c r="S66" s="15">
        <f t="shared" si="14"/>
        <v>8402591588.8874979</v>
      </c>
      <c r="T66" s="15">
        <f t="shared" si="20"/>
        <v>2700000000</v>
      </c>
      <c r="U66" s="16">
        <f t="shared" si="15"/>
        <v>961951708.62621605</v>
      </c>
    </row>
    <row r="67" spans="1:21" x14ac:dyDescent="0.2">
      <c r="A67" t="s">
        <v>208</v>
      </c>
      <c r="B67">
        <v>180</v>
      </c>
      <c r="C67">
        <f>B54</f>
        <v>7576</v>
      </c>
      <c r="D67" s="133">
        <f>B67*1000000/C67</f>
        <v>23759.239704329462</v>
      </c>
      <c r="I67" s="18"/>
      <c r="J67" s="18"/>
      <c r="L67" s="18"/>
      <c r="M67" s="8"/>
    </row>
    <row r="68" spans="1:21" x14ac:dyDescent="0.2">
      <c r="I68" s="18"/>
      <c r="J68" s="18"/>
      <c r="L68" s="18"/>
      <c r="M68" s="8"/>
    </row>
    <row r="69" spans="1:21" x14ac:dyDescent="0.2">
      <c r="A69" t="s">
        <v>203</v>
      </c>
      <c r="D69" s="32">
        <f>D67*B29</f>
        <v>29461.457233368532</v>
      </c>
      <c r="I69" s="18"/>
      <c r="J69" s="18"/>
      <c r="L69" s="18"/>
      <c r="M69" s="8"/>
    </row>
    <row r="70" spans="1:21" x14ac:dyDescent="0.2">
      <c r="I70" s="18"/>
      <c r="J70" s="18"/>
      <c r="L70" s="18"/>
      <c r="M70" s="8"/>
    </row>
    <row r="71" spans="1:21" x14ac:dyDescent="0.2">
      <c r="I71" s="18"/>
      <c r="J71" s="18"/>
      <c r="L71" s="18"/>
      <c r="M71" s="8"/>
    </row>
    <row r="72" spans="1:21" x14ac:dyDescent="0.2">
      <c r="M7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Comparison</vt:lpstr>
      <vt:lpstr>Fair Share Calculation</vt:lpstr>
      <vt:lpstr>USA</vt:lpstr>
      <vt:lpstr>Japan</vt:lpstr>
      <vt:lpstr>Canada</vt:lpstr>
      <vt:lpstr>European Union</vt:lpstr>
      <vt:lpstr>United Kingdom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Rory Todd (rtodd@CGDEV.ORG)</dc:creator>
  <cp:lastModifiedBy>Microsoft Office User</cp:lastModifiedBy>
  <cp:lastPrinted>2022-08-22T11:23:58Z</cp:lastPrinted>
  <dcterms:created xsi:type="dcterms:W3CDTF">2022-07-18T11:11:22Z</dcterms:created>
  <dcterms:modified xsi:type="dcterms:W3CDTF">2022-12-07T14:09:20Z</dcterms:modified>
</cp:coreProperties>
</file>