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chartsheets/sheet1.xml" ContentType="application/vnd.openxmlformats-officedocument.spreadsheetml.chartsheet+xml"/>
  <Override PartName="/xl/worksheets/sheet3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pivotTables/pivotTable1.xml" ContentType="application/vnd.openxmlformats-officedocument.spreadsheetml.pivotTable+xml"/>
  <Override PartName="/xl/drawings/drawing11.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855" windowWidth="19440" windowHeight="9225" firstSheet="27" activeTab="36"/>
  </bookViews>
  <sheets>
    <sheet name="edited unvacc forecasts" sheetId="36" r:id="rId1"/>
    <sheet name="GF disbursements" sheetId="33" r:id="rId2"/>
    <sheet name="correlations" sheetId="35" r:id="rId3"/>
    <sheet name="TB" sheetId="28" r:id="rId4"/>
    <sheet name="measles (2)" sheetId="31" r:id="rId5"/>
    <sheet name="AIDS" sheetId="29" r:id="rId6"/>
    <sheet name="unvacc-hiv-tb" sheetId="32" r:id="rId7"/>
    <sheet name="ARV" sheetId="30" r:id="rId8"/>
    <sheet name="GAVI" sheetId="34" r:id="rId9"/>
    <sheet name="DALY per DAH" sheetId="27" r:id="rId10"/>
    <sheet name="Measles" sheetId="26" r:id="rId11"/>
    <sheet name="Health aid" sheetId="24" r:id="rId12"/>
    <sheet name="PICNIC income distribution" sheetId="25" r:id="rId13"/>
    <sheet name="modified LMIC" sheetId="4" r:id="rId14"/>
    <sheet name="Hoja1" sheetId="18" r:id="rId15"/>
    <sheet name="Hoja5" sheetId="19" r:id="rId16"/>
    <sheet name="excluding China+India" sheetId="20" r:id="rId17"/>
    <sheet name="summary" sheetId="21" r:id="rId18"/>
    <sheet name="modified LI" sheetId="5" r:id="rId19"/>
    <sheet name="GAVI future graduates" sheetId="6" r:id="rId20"/>
    <sheet name="GAVI Eligible" sheetId="7" r:id="rId21"/>
    <sheet name="GDP per capita" sheetId="8" r:id="rId22"/>
    <sheet name="Low Income" sheetId="9" r:id="rId23"/>
    <sheet name="Lower Middle Income" sheetId="10" r:id="rId24"/>
    <sheet name="LMIC Graphs" sheetId="11" r:id="rId25"/>
    <sheet name="Upper Middle Income" sheetId="12" r:id="rId26"/>
    <sheet name="MIC Graphs" sheetId="13" r:id="rId27"/>
    <sheet name="GAVI Graduating" sheetId="14" r:id="rId28"/>
    <sheet name="Index" sheetId="15" r:id="rId29"/>
    <sheet name="Table 2 Gavi grads" sheetId="16" r:id="rId30"/>
    <sheet name="Vaccination" sheetId="17" r:id="rId31"/>
    <sheet name="dtpgdp" sheetId="22" r:id="rId32"/>
    <sheet name="Health expenditures" sheetId="37" r:id="rId33"/>
    <sheet name="dtp dhs" sheetId="23" r:id="rId34"/>
    <sheet name="DALYperincomegroup" sheetId="38" r:id="rId35"/>
    <sheet name="DALY collapsed" sheetId="41" r:id="rId36"/>
    <sheet name="DTP chart labels" sheetId="43" r:id="rId37"/>
    <sheet name="Sheet1" sheetId="42" r:id="rId38"/>
  </sheets>
  <definedNames>
    <definedName name="_xlnm._FilterDatabase" localSheetId="5" hidden="1">AIDS!$A$1:$M$149</definedName>
    <definedName name="_xlnm._FilterDatabase" localSheetId="7" hidden="1">ARV!$A$1:$C$182</definedName>
    <definedName name="_xlnm._FilterDatabase" localSheetId="34" hidden="1">DALYperincomegroup!$A$1:$G$182</definedName>
    <definedName name="_xlnm._FilterDatabase" localSheetId="31" hidden="1">dtpgdp!$A$1:$D$188</definedName>
    <definedName name="_xlnm._FilterDatabase" localSheetId="0" hidden="1">'edited unvacc forecasts'!$B$2:$AC$200</definedName>
    <definedName name="_xlnm._FilterDatabase" localSheetId="8" hidden="1">GAVI!$A$1:$Q$496</definedName>
    <definedName name="_xlnm._FilterDatabase" localSheetId="1" hidden="1">'GF disbursements'!$A$1:$D$6106</definedName>
    <definedName name="_xlnm._FilterDatabase" localSheetId="14" hidden="1">Hoja1!$A$2:$Z$200</definedName>
    <definedName name="_xlnm._FilterDatabase" localSheetId="22" hidden="1">'Low Income'!$A$1:$F$42</definedName>
    <definedName name="_xlnm._FilterDatabase" localSheetId="23" hidden="1">'Lower Middle Income'!$A$1:$F$62</definedName>
    <definedName name="_xlnm._FilterDatabase" localSheetId="10" hidden="1">Measles!$A$1:$F$179</definedName>
    <definedName name="_xlnm._FilterDatabase" localSheetId="4" hidden="1">'measles (2)'!$A$1:$G$179</definedName>
    <definedName name="_xlnm._FilterDatabase" localSheetId="18" hidden="1">'modified LI'!$A$1:$E$42</definedName>
    <definedName name="_xlnm._FilterDatabase" localSheetId="13" hidden="1">'modified LMIC'!$A$1:$E$61</definedName>
    <definedName name="_xlnm._FilterDatabase" localSheetId="3" hidden="1">TB!$A$1:$M$183</definedName>
    <definedName name="_xlnm._FilterDatabase" localSheetId="25" hidden="1">'Upper Middle Income'!$A$1:$F$50</definedName>
    <definedName name="incid_measles">Measles!$A$1:$E$179</definedName>
    <definedName name="Usys_Xprt_IndicatorTextT">#REF!</definedName>
    <definedName name="zCountryProfile_ScheduleT_2003">#REF!</definedName>
    <definedName name="zzGFATMData__All_Disbursements_Made_">'GF disbursements'!$A$1:$D$6106</definedName>
  </definedNames>
  <calcPr calcId="145621"/>
  <pivotCaches>
    <pivotCache cacheId="0" r:id="rId39"/>
  </pivotCaches>
</workbook>
</file>

<file path=xl/calcChain.xml><?xml version="1.0" encoding="utf-8"?>
<calcChain xmlns="http://schemas.openxmlformats.org/spreadsheetml/2006/main">
  <c r="B6" i="24" l="1"/>
  <c r="C6" i="24"/>
  <c r="A6" i="24"/>
  <c r="D5" i="24"/>
  <c r="O147" i="29" l="1"/>
  <c r="O146" i="29"/>
  <c r="O141" i="29"/>
  <c r="O138" i="29"/>
  <c r="O129" i="29"/>
  <c r="O127" i="29"/>
  <c r="O124" i="29"/>
  <c r="O116" i="29"/>
  <c r="O100" i="29"/>
  <c r="O94" i="29"/>
  <c r="O3" i="29"/>
  <c r="O18" i="29"/>
  <c r="O53" i="29"/>
  <c r="O72" i="29"/>
  <c r="O77" i="29"/>
  <c r="O82" i="29"/>
  <c r="O92" i="29"/>
  <c r="O36" i="29"/>
  <c r="C17" i="41" l="1"/>
  <c r="D17" i="41"/>
  <c r="E17" i="41"/>
  <c r="F17" i="41"/>
  <c r="B17" i="41"/>
  <c r="H19" i="35" l="1"/>
  <c r="H18" i="35"/>
  <c r="K9" i="32" l="1"/>
  <c r="D60" i="10"/>
  <c r="E60" i="10"/>
  <c r="C60" i="10"/>
  <c r="B60" i="10"/>
  <c r="U5" i="34"/>
  <c r="U4" i="34"/>
  <c r="I5" i="31" l="1"/>
  <c r="I4" i="31"/>
  <c r="O5" i="36" l="1"/>
  <c r="Y5" i="36" s="1"/>
  <c r="P5" i="36"/>
  <c r="V5" i="36"/>
  <c r="W5" i="36"/>
  <c r="AD5" i="36" s="1"/>
  <c r="X5" i="36"/>
  <c r="AE5" i="36" s="1"/>
  <c r="Z5" i="36"/>
  <c r="V6" i="36"/>
  <c r="W6" i="36"/>
  <c r="AD6" i="36" s="1"/>
  <c r="X6" i="36"/>
  <c r="AE6" i="36" s="1"/>
  <c r="V7" i="36"/>
  <c r="W7" i="36"/>
  <c r="AD7" i="36" s="1"/>
  <c r="X7" i="36"/>
  <c r="AE7" i="36" s="1"/>
  <c r="O8" i="36"/>
  <c r="Y8" i="36" s="1"/>
  <c r="P8" i="36"/>
  <c r="V8" i="36"/>
  <c r="W8" i="36"/>
  <c r="AD8" i="36" s="1"/>
  <c r="X8" i="36"/>
  <c r="AE8" i="36" s="1"/>
  <c r="Z8" i="36"/>
  <c r="V9" i="36"/>
  <c r="W9" i="36"/>
  <c r="AD9" i="36" s="1"/>
  <c r="X9" i="36"/>
  <c r="AE9" i="36" s="1"/>
  <c r="O10" i="36"/>
  <c r="Y10" i="36" s="1"/>
  <c r="P10" i="36"/>
  <c r="V10" i="36"/>
  <c r="W10" i="36"/>
  <c r="AD10" i="36" s="1"/>
  <c r="X10" i="36"/>
  <c r="AE10" i="36" s="1"/>
  <c r="Z10" i="36"/>
  <c r="V11" i="36"/>
  <c r="W11" i="36"/>
  <c r="AD11" i="36" s="1"/>
  <c r="X11" i="36"/>
  <c r="AE11" i="36" s="1"/>
  <c r="V12" i="36"/>
  <c r="W12" i="36"/>
  <c r="AD12" i="36" s="1"/>
  <c r="X12" i="36"/>
  <c r="AE12" i="36" s="1"/>
  <c r="V13" i="36"/>
  <c r="W13" i="36"/>
  <c r="AD13" i="36" s="1"/>
  <c r="X13" i="36"/>
  <c r="AE13" i="36" s="1"/>
  <c r="V14" i="36"/>
  <c r="W14" i="36"/>
  <c r="AD14" i="36" s="1"/>
  <c r="X14" i="36"/>
  <c r="AE14" i="36" s="1"/>
  <c r="V15" i="36"/>
  <c r="W15" i="36"/>
  <c r="AD15" i="36" s="1"/>
  <c r="X15" i="36"/>
  <c r="AE15" i="36" s="1"/>
  <c r="V16" i="36"/>
  <c r="W16" i="36"/>
  <c r="AD16" i="36" s="1"/>
  <c r="X16" i="36"/>
  <c r="AE16" i="36" s="1"/>
  <c r="O17" i="36"/>
  <c r="Y17" i="36" s="1"/>
  <c r="P17" i="36"/>
  <c r="V17" i="36"/>
  <c r="W17" i="36"/>
  <c r="AD17" i="36" s="1"/>
  <c r="X17" i="36"/>
  <c r="AE17" i="36" s="1"/>
  <c r="Z17" i="36"/>
  <c r="V18" i="36"/>
  <c r="W18" i="36"/>
  <c r="AD18" i="36" s="1"/>
  <c r="X18" i="36"/>
  <c r="AE18" i="36" s="1"/>
  <c r="V19" i="36"/>
  <c r="W19" i="36"/>
  <c r="AD19" i="36" s="1"/>
  <c r="X19" i="36"/>
  <c r="AE19" i="36" s="1"/>
  <c r="V20" i="36"/>
  <c r="W20" i="36"/>
  <c r="AD20" i="36" s="1"/>
  <c r="X20" i="36"/>
  <c r="AE20" i="36" s="1"/>
  <c r="O21" i="36"/>
  <c r="Y21" i="36" s="1"/>
  <c r="P21" i="36"/>
  <c r="V21" i="36"/>
  <c r="W21" i="36"/>
  <c r="AD21" i="36" s="1"/>
  <c r="X21" i="36"/>
  <c r="AE21" i="36" s="1"/>
  <c r="Z21" i="36"/>
  <c r="O22" i="36"/>
  <c r="Y22" i="36" s="1"/>
  <c r="P22" i="36"/>
  <c r="V22" i="36"/>
  <c r="W22" i="36"/>
  <c r="AD22" i="36" s="1"/>
  <c r="X22" i="36"/>
  <c r="AE22" i="36" s="1"/>
  <c r="Z22" i="36"/>
  <c r="O23" i="36"/>
  <c r="Y23" i="36" s="1"/>
  <c r="P23" i="36"/>
  <c r="V23" i="36"/>
  <c r="W23" i="36"/>
  <c r="AD23" i="36" s="1"/>
  <c r="X23" i="36"/>
  <c r="AE23" i="36" s="1"/>
  <c r="Z23" i="36"/>
  <c r="O24" i="36"/>
  <c r="Y24" i="36" s="1"/>
  <c r="P24" i="36"/>
  <c r="V24" i="36"/>
  <c r="W24" i="36"/>
  <c r="AD24" i="36" s="1"/>
  <c r="X24" i="36"/>
  <c r="AE24" i="36" s="1"/>
  <c r="Z24" i="36"/>
  <c r="V25" i="36"/>
  <c r="W25" i="36"/>
  <c r="AD25" i="36" s="1"/>
  <c r="X25" i="36"/>
  <c r="AE25" i="36" s="1"/>
  <c r="V26" i="36"/>
  <c r="W26" i="36"/>
  <c r="AD26" i="36" s="1"/>
  <c r="X26" i="36"/>
  <c r="AE26" i="36" s="1"/>
  <c r="V27" i="36"/>
  <c r="W27" i="36"/>
  <c r="AD27" i="36" s="1"/>
  <c r="X27" i="36"/>
  <c r="AE27" i="36" s="1"/>
  <c r="V28" i="36"/>
  <c r="W28" i="36"/>
  <c r="AD28" i="36" s="1"/>
  <c r="X28" i="36"/>
  <c r="AE28" i="36" s="1"/>
  <c r="V29" i="36"/>
  <c r="W29" i="36"/>
  <c r="AD29" i="36" s="1"/>
  <c r="X29" i="36"/>
  <c r="AE29" i="36" s="1"/>
  <c r="O30" i="36"/>
  <c r="Y30" i="36" s="1"/>
  <c r="P30" i="36"/>
  <c r="V30" i="36"/>
  <c r="W30" i="36"/>
  <c r="AD30" i="36" s="1"/>
  <c r="X30" i="36"/>
  <c r="AE30" i="36" s="1"/>
  <c r="Z30" i="36"/>
  <c r="O31" i="36"/>
  <c r="Y31" i="36" s="1"/>
  <c r="P31" i="36"/>
  <c r="V31" i="36"/>
  <c r="W31" i="36"/>
  <c r="AD31" i="36" s="1"/>
  <c r="X31" i="36"/>
  <c r="AE31" i="36" s="1"/>
  <c r="Z31" i="36"/>
  <c r="O32" i="36"/>
  <c r="Y32" i="36" s="1"/>
  <c r="P32" i="36"/>
  <c r="V32" i="36"/>
  <c r="W32" i="36"/>
  <c r="AD32" i="36" s="1"/>
  <c r="X32" i="36"/>
  <c r="AE32" i="36" s="1"/>
  <c r="Z32" i="36"/>
  <c r="O33" i="36"/>
  <c r="Y33" i="36" s="1"/>
  <c r="P33" i="36"/>
  <c r="V33" i="36"/>
  <c r="W33" i="36"/>
  <c r="AD33" i="36" s="1"/>
  <c r="X33" i="36"/>
  <c r="AE33" i="36" s="1"/>
  <c r="Z33" i="36"/>
  <c r="V34" i="36"/>
  <c r="W34" i="36"/>
  <c r="AD34" i="36" s="1"/>
  <c r="X34" i="36"/>
  <c r="AE34" i="36" s="1"/>
  <c r="O35" i="36"/>
  <c r="Y35" i="36" s="1"/>
  <c r="P35" i="36"/>
  <c r="V35" i="36"/>
  <c r="W35" i="36"/>
  <c r="AD35" i="36" s="1"/>
  <c r="X35" i="36"/>
  <c r="AE35" i="36" s="1"/>
  <c r="Z35" i="36"/>
  <c r="O36" i="36"/>
  <c r="Y36" i="36" s="1"/>
  <c r="P36" i="36"/>
  <c r="V36" i="36"/>
  <c r="W36" i="36"/>
  <c r="AD36" i="36" s="1"/>
  <c r="X36" i="36"/>
  <c r="AE36" i="36" s="1"/>
  <c r="Z36" i="36"/>
  <c r="O37" i="36"/>
  <c r="Y37" i="36" s="1"/>
  <c r="P37" i="36"/>
  <c r="V37" i="36"/>
  <c r="W37" i="36"/>
  <c r="AD37" i="36" s="1"/>
  <c r="X37" i="36"/>
  <c r="AE37" i="36" s="1"/>
  <c r="Z37" i="36"/>
  <c r="V38" i="36"/>
  <c r="W38" i="36"/>
  <c r="AD38" i="36" s="1"/>
  <c r="X38" i="36"/>
  <c r="AE38" i="36" s="1"/>
  <c r="Y38" i="36"/>
  <c r="Z38" i="36"/>
  <c r="V39" i="36"/>
  <c r="W39" i="36"/>
  <c r="AD39" i="36" s="1"/>
  <c r="X39" i="36"/>
  <c r="AE39" i="36" s="1"/>
  <c r="O40" i="36"/>
  <c r="Y40" i="36" s="1"/>
  <c r="P40" i="36"/>
  <c r="V40" i="36"/>
  <c r="W40" i="36"/>
  <c r="AD40" i="36" s="1"/>
  <c r="X40" i="36"/>
  <c r="AE40" i="36" s="1"/>
  <c r="Z40" i="36"/>
  <c r="V41" i="36"/>
  <c r="W41" i="36"/>
  <c r="AD41" i="36" s="1"/>
  <c r="X41" i="36"/>
  <c r="AE41" i="36" s="1"/>
  <c r="V42" i="36"/>
  <c r="W42" i="36"/>
  <c r="AD42" i="36" s="1"/>
  <c r="X42" i="36"/>
  <c r="AE42" i="36" s="1"/>
  <c r="V43" i="36"/>
  <c r="W43" i="36"/>
  <c r="AD43" i="36" s="1"/>
  <c r="X43" i="36"/>
  <c r="AE43" i="36" s="1"/>
  <c r="O44" i="36"/>
  <c r="Y44" i="36" s="1"/>
  <c r="P44" i="36"/>
  <c r="V44" i="36"/>
  <c r="W44" i="36"/>
  <c r="AD44" i="36" s="1"/>
  <c r="X44" i="36"/>
  <c r="AE44" i="36" s="1"/>
  <c r="Z44" i="36"/>
  <c r="O45" i="36"/>
  <c r="Y45" i="36" s="1"/>
  <c r="P45" i="36"/>
  <c r="V45" i="36"/>
  <c r="W45" i="36"/>
  <c r="AD45" i="36" s="1"/>
  <c r="X45" i="36"/>
  <c r="AE45" i="36" s="1"/>
  <c r="Z45" i="36"/>
  <c r="V46" i="36"/>
  <c r="W46" i="36"/>
  <c r="AD46" i="36" s="1"/>
  <c r="X46" i="36"/>
  <c r="AE46" i="36" s="1"/>
  <c r="O47" i="36"/>
  <c r="Y47" i="36" s="1"/>
  <c r="P47" i="36"/>
  <c r="V47" i="36"/>
  <c r="W47" i="36"/>
  <c r="AD47" i="36" s="1"/>
  <c r="X47" i="36"/>
  <c r="AE47" i="36" s="1"/>
  <c r="Z47" i="36"/>
  <c r="V48" i="36"/>
  <c r="W48" i="36"/>
  <c r="AD48" i="36" s="1"/>
  <c r="X48" i="36"/>
  <c r="AE48" i="36" s="1"/>
  <c r="V49" i="36"/>
  <c r="W49" i="36"/>
  <c r="AD49" i="36" s="1"/>
  <c r="X49" i="36"/>
  <c r="AE49" i="36" s="1"/>
  <c r="V50" i="36"/>
  <c r="W50" i="36"/>
  <c r="AD50" i="36" s="1"/>
  <c r="X50" i="36"/>
  <c r="AE50" i="36" s="1"/>
  <c r="V51" i="36"/>
  <c r="W51" i="36"/>
  <c r="AD51" i="36" s="1"/>
  <c r="X51" i="36"/>
  <c r="AE51" i="36" s="1"/>
  <c r="O52" i="36"/>
  <c r="Y52" i="36" s="1"/>
  <c r="P52" i="36"/>
  <c r="V52" i="36"/>
  <c r="W52" i="36"/>
  <c r="AD52" i="36" s="1"/>
  <c r="X52" i="36"/>
  <c r="AE52" i="36" s="1"/>
  <c r="Z52" i="36"/>
  <c r="O53" i="36"/>
  <c r="Y53" i="36" s="1"/>
  <c r="P53" i="36"/>
  <c r="V53" i="36"/>
  <c r="W53" i="36"/>
  <c r="AD53" i="36" s="1"/>
  <c r="X53" i="36"/>
  <c r="AE53" i="36" s="1"/>
  <c r="Z53" i="36"/>
  <c r="V54" i="36"/>
  <c r="W54" i="36"/>
  <c r="AD54" i="36" s="1"/>
  <c r="X54" i="36"/>
  <c r="AE54" i="36" s="1"/>
  <c r="O55" i="36"/>
  <c r="Y55" i="36" s="1"/>
  <c r="P55" i="36"/>
  <c r="V55" i="36"/>
  <c r="W55" i="36"/>
  <c r="AD55" i="36" s="1"/>
  <c r="X55" i="36"/>
  <c r="AE55" i="36" s="1"/>
  <c r="Z55" i="36"/>
  <c r="V56" i="36"/>
  <c r="W56" i="36"/>
  <c r="AD56" i="36" s="1"/>
  <c r="X56" i="36"/>
  <c r="AE56" i="36" s="1"/>
  <c r="O57" i="36"/>
  <c r="Y57" i="36" s="1"/>
  <c r="P57" i="36"/>
  <c r="V57" i="36"/>
  <c r="W57" i="36"/>
  <c r="AD57" i="36" s="1"/>
  <c r="X57" i="36"/>
  <c r="AE57" i="36" s="1"/>
  <c r="Z57" i="36"/>
  <c r="O58" i="36"/>
  <c r="Y58" i="36" s="1"/>
  <c r="P58" i="36"/>
  <c r="V58" i="36"/>
  <c r="W58" i="36"/>
  <c r="AD58" i="36" s="1"/>
  <c r="X58" i="36"/>
  <c r="AE58" i="36" s="1"/>
  <c r="Z58" i="36"/>
  <c r="O59" i="36"/>
  <c r="Y59" i="36" s="1"/>
  <c r="P59" i="36"/>
  <c r="V59" i="36"/>
  <c r="W59" i="36"/>
  <c r="AD59" i="36" s="1"/>
  <c r="X59" i="36"/>
  <c r="AE59" i="36" s="1"/>
  <c r="Z59" i="36"/>
  <c r="V60" i="36"/>
  <c r="W60" i="36"/>
  <c r="AD60" i="36" s="1"/>
  <c r="X60" i="36"/>
  <c r="AE60" i="36" s="1"/>
  <c r="O61" i="36"/>
  <c r="Y61" i="36" s="1"/>
  <c r="P61" i="36"/>
  <c r="V61" i="36"/>
  <c r="W61" i="36"/>
  <c r="AD61" i="36" s="1"/>
  <c r="X61" i="36"/>
  <c r="AE61" i="36" s="1"/>
  <c r="Z61" i="36"/>
  <c r="V62" i="36"/>
  <c r="W62" i="36"/>
  <c r="AD62" i="36" s="1"/>
  <c r="X62" i="36"/>
  <c r="AE62" i="36" s="1"/>
  <c r="O63" i="36"/>
  <c r="Y63" i="36" s="1"/>
  <c r="P63" i="36"/>
  <c r="V63" i="36"/>
  <c r="W63" i="36"/>
  <c r="AD63" i="36" s="1"/>
  <c r="X63" i="36"/>
  <c r="AE63" i="36" s="1"/>
  <c r="Z63" i="36"/>
  <c r="V64" i="36"/>
  <c r="W64" i="36"/>
  <c r="AD64" i="36" s="1"/>
  <c r="X64" i="36"/>
  <c r="AE64" i="36" s="1"/>
  <c r="V65" i="36"/>
  <c r="W65" i="36"/>
  <c r="AD65" i="36" s="1"/>
  <c r="X65" i="36"/>
  <c r="AE65" i="36" s="1"/>
  <c r="V66" i="36"/>
  <c r="W66" i="36"/>
  <c r="AD66" i="36" s="1"/>
  <c r="X66" i="36"/>
  <c r="AE66" i="36" s="1"/>
  <c r="O67" i="36"/>
  <c r="Y67" i="36" s="1"/>
  <c r="P67" i="36"/>
  <c r="V67" i="36"/>
  <c r="W67" i="36"/>
  <c r="AD67" i="36" s="1"/>
  <c r="X67" i="36"/>
  <c r="AE67" i="36" s="1"/>
  <c r="Z67" i="36"/>
  <c r="V68" i="36"/>
  <c r="W68" i="36"/>
  <c r="AD68" i="36" s="1"/>
  <c r="X68" i="36"/>
  <c r="AE68" i="36" s="1"/>
  <c r="Y68" i="36"/>
  <c r="Z68" i="36"/>
  <c r="V69" i="36"/>
  <c r="W69" i="36"/>
  <c r="AD69" i="36" s="1"/>
  <c r="X69" i="36"/>
  <c r="AE69" i="36" s="1"/>
  <c r="O70" i="36"/>
  <c r="Y70" i="36" s="1"/>
  <c r="P70" i="36"/>
  <c r="V70" i="36"/>
  <c r="W70" i="36"/>
  <c r="AD70" i="36" s="1"/>
  <c r="X70" i="36"/>
  <c r="AE70" i="36" s="1"/>
  <c r="Z70" i="36"/>
  <c r="O71" i="36"/>
  <c r="Y71" i="36" s="1"/>
  <c r="P71" i="36"/>
  <c r="V71" i="36"/>
  <c r="W71" i="36"/>
  <c r="AD71" i="36" s="1"/>
  <c r="X71" i="36"/>
  <c r="AE71" i="36" s="1"/>
  <c r="Z71" i="36"/>
  <c r="V72" i="36"/>
  <c r="W72" i="36"/>
  <c r="AD72" i="36" s="1"/>
  <c r="X72" i="36"/>
  <c r="AE72" i="36" s="1"/>
  <c r="O73" i="36"/>
  <c r="Y73" i="36" s="1"/>
  <c r="P73" i="36"/>
  <c r="V73" i="36"/>
  <c r="W73" i="36"/>
  <c r="AD73" i="36" s="1"/>
  <c r="X73" i="36"/>
  <c r="AE73" i="36" s="1"/>
  <c r="Z73" i="36"/>
  <c r="V74" i="36"/>
  <c r="W74" i="36"/>
  <c r="AD74" i="36" s="1"/>
  <c r="X74" i="36"/>
  <c r="AE74" i="36" s="1"/>
  <c r="V75" i="36"/>
  <c r="W75" i="36"/>
  <c r="AD75" i="36" s="1"/>
  <c r="X75" i="36"/>
  <c r="AE75" i="36" s="1"/>
  <c r="V76" i="36"/>
  <c r="W76" i="36"/>
  <c r="X76" i="36"/>
  <c r="AE76" i="36" s="1"/>
  <c r="Y76" i="36"/>
  <c r="Z76" i="36"/>
  <c r="AD76" i="36"/>
  <c r="V77" i="36"/>
  <c r="W77" i="36"/>
  <c r="X77" i="36"/>
  <c r="AE77" i="36" s="1"/>
  <c r="Y77" i="36"/>
  <c r="Z77" i="36"/>
  <c r="AD77" i="36"/>
  <c r="O78" i="36"/>
  <c r="Y78" i="36" s="1"/>
  <c r="P78" i="36"/>
  <c r="V78" i="36"/>
  <c r="W78" i="36"/>
  <c r="AD78" i="36" s="1"/>
  <c r="X78" i="36"/>
  <c r="AE78" i="36" s="1"/>
  <c r="Z78" i="36"/>
  <c r="O79" i="36"/>
  <c r="Y79" i="36" s="1"/>
  <c r="P79" i="36"/>
  <c r="V79" i="36"/>
  <c r="W79" i="36"/>
  <c r="AD79" i="36" s="1"/>
  <c r="X79" i="36"/>
  <c r="AE79" i="36" s="1"/>
  <c r="Z79" i="36"/>
  <c r="O80" i="36"/>
  <c r="Y80" i="36" s="1"/>
  <c r="P80" i="36"/>
  <c r="V80" i="36"/>
  <c r="W80" i="36"/>
  <c r="AD80" i="36" s="1"/>
  <c r="X80" i="36"/>
  <c r="AE80" i="36" s="1"/>
  <c r="Z80" i="36"/>
  <c r="O81" i="36"/>
  <c r="Y81" i="36" s="1"/>
  <c r="P81" i="36"/>
  <c r="V81" i="36"/>
  <c r="W81" i="36"/>
  <c r="AD81" i="36" s="1"/>
  <c r="X81" i="36"/>
  <c r="AE81" i="36" s="1"/>
  <c r="Z81" i="36"/>
  <c r="O82" i="36"/>
  <c r="Y82" i="36" s="1"/>
  <c r="P82" i="36"/>
  <c r="V82" i="36"/>
  <c r="W82" i="36"/>
  <c r="AD82" i="36" s="1"/>
  <c r="X82" i="36"/>
  <c r="AE82" i="36" s="1"/>
  <c r="Z82" i="36"/>
  <c r="O83" i="36"/>
  <c r="Y83" i="36" s="1"/>
  <c r="P83" i="36"/>
  <c r="V83" i="36"/>
  <c r="W83" i="36"/>
  <c r="AD83" i="36" s="1"/>
  <c r="X83" i="36"/>
  <c r="AE83" i="36" s="1"/>
  <c r="Z83" i="36"/>
  <c r="V84" i="36"/>
  <c r="W84" i="36"/>
  <c r="AD84" i="36" s="1"/>
  <c r="X84" i="36"/>
  <c r="AE84" i="36" s="1"/>
  <c r="V85" i="36"/>
  <c r="W85" i="36"/>
  <c r="AD85" i="36" s="1"/>
  <c r="X85" i="36"/>
  <c r="AE85" i="36" s="1"/>
  <c r="O86" i="36"/>
  <c r="Y86" i="36" s="1"/>
  <c r="P86" i="36"/>
  <c r="V86" i="36"/>
  <c r="W86" i="36"/>
  <c r="AD86" i="36" s="1"/>
  <c r="X86" i="36"/>
  <c r="AE86" i="36" s="1"/>
  <c r="Z86" i="36"/>
  <c r="O87" i="36"/>
  <c r="Y87" i="36" s="1"/>
  <c r="P87" i="36"/>
  <c r="V87" i="36"/>
  <c r="W87" i="36"/>
  <c r="AD87" i="36" s="1"/>
  <c r="X87" i="36"/>
  <c r="AE87" i="36" s="1"/>
  <c r="Z87" i="36"/>
  <c r="V88" i="36"/>
  <c r="W88" i="36"/>
  <c r="AD88" i="36" s="1"/>
  <c r="X88" i="36"/>
  <c r="AE88" i="36" s="1"/>
  <c r="O89" i="36"/>
  <c r="Y89" i="36" s="1"/>
  <c r="P89" i="36"/>
  <c r="V89" i="36"/>
  <c r="W89" i="36"/>
  <c r="AD89" i="36" s="1"/>
  <c r="X89" i="36"/>
  <c r="AE89" i="36" s="1"/>
  <c r="Z89" i="36"/>
  <c r="V90" i="36"/>
  <c r="W90" i="36"/>
  <c r="AD90" i="36" s="1"/>
  <c r="X90" i="36"/>
  <c r="AE90" i="36" s="1"/>
  <c r="V91" i="36"/>
  <c r="W91" i="36"/>
  <c r="AD91" i="36" s="1"/>
  <c r="X91" i="36"/>
  <c r="AE91" i="36" s="1"/>
  <c r="V92" i="36"/>
  <c r="W92" i="36"/>
  <c r="AD92" i="36" s="1"/>
  <c r="X92" i="36"/>
  <c r="AE92" i="36" s="1"/>
  <c r="V93" i="36"/>
  <c r="W93" i="36"/>
  <c r="AD93" i="36" s="1"/>
  <c r="X93" i="36"/>
  <c r="AE93" i="36" s="1"/>
  <c r="V94" i="36"/>
  <c r="W94" i="36"/>
  <c r="AD94" i="36" s="1"/>
  <c r="X94" i="36"/>
  <c r="AE94" i="36" s="1"/>
  <c r="O95" i="36"/>
  <c r="Y95" i="36" s="1"/>
  <c r="P95" i="36"/>
  <c r="V95" i="36"/>
  <c r="W95" i="36"/>
  <c r="AD95" i="36" s="1"/>
  <c r="X95" i="36"/>
  <c r="AE95" i="36" s="1"/>
  <c r="Z95" i="36"/>
  <c r="V96" i="36"/>
  <c r="W96" i="36"/>
  <c r="AD96" i="36" s="1"/>
  <c r="X96" i="36"/>
  <c r="AE96" i="36" s="1"/>
  <c r="O97" i="36"/>
  <c r="Y97" i="36" s="1"/>
  <c r="P97" i="36"/>
  <c r="Z97" i="36" s="1"/>
  <c r="V97" i="36"/>
  <c r="W97" i="36"/>
  <c r="AD97" i="36" s="1"/>
  <c r="X97" i="36"/>
  <c r="AE97" i="36" s="1"/>
  <c r="V98" i="36"/>
  <c r="W98" i="36"/>
  <c r="AD98" i="36" s="1"/>
  <c r="X98" i="36"/>
  <c r="AE98" i="36" s="1"/>
  <c r="O99" i="36"/>
  <c r="Y99" i="36" s="1"/>
  <c r="P99" i="36"/>
  <c r="Z99" i="36" s="1"/>
  <c r="V99" i="36"/>
  <c r="W99" i="36"/>
  <c r="AD99" i="36" s="1"/>
  <c r="X99" i="36"/>
  <c r="AE99" i="36" s="1"/>
  <c r="O100" i="36"/>
  <c r="Y100" i="36" s="1"/>
  <c r="P100" i="36"/>
  <c r="V100" i="36"/>
  <c r="W100" i="36"/>
  <c r="AD100" i="36" s="1"/>
  <c r="X100" i="36"/>
  <c r="Z100" i="36"/>
  <c r="AE100" i="36"/>
  <c r="V101" i="36"/>
  <c r="W101" i="36"/>
  <c r="AD101" i="36" s="1"/>
  <c r="X101" i="36"/>
  <c r="AE101" i="36" s="1"/>
  <c r="V102" i="36"/>
  <c r="W102" i="36"/>
  <c r="AD102" i="36" s="1"/>
  <c r="X102" i="36"/>
  <c r="AE102" i="36" s="1"/>
  <c r="O103" i="36"/>
  <c r="Y103" i="36" s="1"/>
  <c r="P103" i="36"/>
  <c r="Z103" i="36" s="1"/>
  <c r="V103" i="36"/>
  <c r="W103" i="36"/>
  <c r="AD103" i="36" s="1"/>
  <c r="X103" i="36"/>
  <c r="AE103" i="36" s="1"/>
  <c r="O104" i="36"/>
  <c r="Y104" i="36" s="1"/>
  <c r="P104" i="36"/>
  <c r="V104" i="36"/>
  <c r="W104" i="36"/>
  <c r="AD104" i="36" s="1"/>
  <c r="X104" i="36"/>
  <c r="Z104" i="36"/>
  <c r="AE104" i="36"/>
  <c r="V105" i="36"/>
  <c r="W105" i="36"/>
  <c r="AD105" i="36" s="1"/>
  <c r="X105" i="36"/>
  <c r="AE105" i="36" s="1"/>
  <c r="V106" i="36"/>
  <c r="W106" i="36"/>
  <c r="AD106" i="36" s="1"/>
  <c r="X106" i="36"/>
  <c r="AE106" i="36" s="1"/>
  <c r="V107" i="36"/>
  <c r="W107" i="36"/>
  <c r="AD107" i="36" s="1"/>
  <c r="X107" i="36"/>
  <c r="AE107" i="36" s="1"/>
  <c r="O108" i="36"/>
  <c r="Y108" i="36" s="1"/>
  <c r="P108" i="36"/>
  <c r="V108" i="36"/>
  <c r="W108" i="36"/>
  <c r="AD108" i="36" s="1"/>
  <c r="X108" i="36"/>
  <c r="AE108" i="36" s="1"/>
  <c r="Z108" i="36"/>
  <c r="O109" i="36"/>
  <c r="Y109" i="36" s="1"/>
  <c r="P109" i="36"/>
  <c r="Z109" i="36" s="1"/>
  <c r="V109" i="36"/>
  <c r="W109" i="36"/>
  <c r="AD109" i="36" s="1"/>
  <c r="X109" i="36"/>
  <c r="AE109" i="36" s="1"/>
  <c r="V110" i="36"/>
  <c r="W110" i="36"/>
  <c r="AD110" i="36" s="1"/>
  <c r="X110" i="36"/>
  <c r="AE110" i="36" s="1"/>
  <c r="O111" i="36"/>
  <c r="Y111" i="36" s="1"/>
  <c r="P111" i="36"/>
  <c r="Z111" i="36" s="1"/>
  <c r="V111" i="36"/>
  <c r="W111" i="36"/>
  <c r="AD111" i="36" s="1"/>
  <c r="X111" i="36"/>
  <c r="AE111" i="36" s="1"/>
  <c r="O112" i="36"/>
  <c r="Y112" i="36" s="1"/>
  <c r="P112" i="36"/>
  <c r="V112" i="36"/>
  <c r="W112" i="36"/>
  <c r="AD112" i="36" s="1"/>
  <c r="X112" i="36"/>
  <c r="AE112" i="36" s="1"/>
  <c r="Z112" i="36"/>
  <c r="V113" i="36"/>
  <c r="W113" i="36"/>
  <c r="AD113" i="36" s="1"/>
  <c r="AF113" i="36" s="1"/>
  <c r="X113" i="36"/>
  <c r="AE113" i="36" s="1"/>
  <c r="V114" i="36"/>
  <c r="W114" i="36"/>
  <c r="X114" i="36"/>
  <c r="AE114" i="36" s="1"/>
  <c r="Y114" i="36"/>
  <c r="Z114" i="36"/>
  <c r="AD114" i="36"/>
  <c r="O115" i="36"/>
  <c r="Y115" i="36" s="1"/>
  <c r="P115" i="36"/>
  <c r="V115" i="36"/>
  <c r="W115" i="36"/>
  <c r="AD115" i="36" s="1"/>
  <c r="X115" i="36"/>
  <c r="AE115" i="36" s="1"/>
  <c r="Z115" i="36"/>
  <c r="V116" i="36"/>
  <c r="W116" i="36"/>
  <c r="AD116" i="36" s="1"/>
  <c r="X116" i="36"/>
  <c r="AE116" i="36" s="1"/>
  <c r="V117" i="36"/>
  <c r="W117" i="36"/>
  <c r="AD117" i="36" s="1"/>
  <c r="X117" i="36"/>
  <c r="AE117" i="36" s="1"/>
  <c r="V118" i="36"/>
  <c r="W118" i="36"/>
  <c r="AD118" i="36" s="1"/>
  <c r="X118" i="36"/>
  <c r="AE118" i="36" s="1"/>
  <c r="O119" i="36"/>
  <c r="P119" i="36"/>
  <c r="Z119" i="36" s="1"/>
  <c r="V119" i="36"/>
  <c r="W119" i="36"/>
  <c r="X119" i="36"/>
  <c r="AE119" i="36" s="1"/>
  <c r="Y119" i="36"/>
  <c r="AD119" i="36"/>
  <c r="O120" i="36"/>
  <c r="Y120" i="36" s="1"/>
  <c r="P120" i="36"/>
  <c r="Z120" i="36" s="1"/>
  <c r="V120" i="36"/>
  <c r="W120" i="36"/>
  <c r="AD120" i="36" s="1"/>
  <c r="X120" i="36"/>
  <c r="AE120" i="36" s="1"/>
  <c r="V121" i="36"/>
  <c r="W121" i="36"/>
  <c r="AD121" i="36" s="1"/>
  <c r="X121" i="36"/>
  <c r="AE121" i="36" s="1"/>
  <c r="Y121" i="36"/>
  <c r="Z121" i="36"/>
  <c r="O122" i="36"/>
  <c r="Y122" i="36" s="1"/>
  <c r="P122" i="36"/>
  <c r="V122" i="36"/>
  <c r="W122" i="36"/>
  <c r="AD122" i="36" s="1"/>
  <c r="X122" i="36"/>
  <c r="AE122" i="36" s="1"/>
  <c r="Z122" i="36"/>
  <c r="O123" i="36"/>
  <c r="Y123" i="36" s="1"/>
  <c r="P123" i="36"/>
  <c r="Z123" i="36" s="1"/>
  <c r="V123" i="36"/>
  <c r="W123" i="36"/>
  <c r="AD123" i="36" s="1"/>
  <c r="X123" i="36"/>
  <c r="AE123" i="36" s="1"/>
  <c r="O124" i="36"/>
  <c r="P124" i="36"/>
  <c r="Z124" i="36" s="1"/>
  <c r="V124" i="36"/>
  <c r="W124" i="36"/>
  <c r="X124" i="36"/>
  <c r="AE124" i="36" s="1"/>
  <c r="Y124" i="36"/>
  <c r="AD124" i="36"/>
  <c r="V125" i="36"/>
  <c r="W125" i="36"/>
  <c r="AD125" i="36" s="1"/>
  <c r="X125" i="36"/>
  <c r="AE125" i="36" s="1"/>
  <c r="O126" i="36"/>
  <c r="Y126" i="36" s="1"/>
  <c r="P126" i="36"/>
  <c r="V126" i="36"/>
  <c r="W126" i="36"/>
  <c r="AD126" i="36" s="1"/>
  <c r="X126" i="36"/>
  <c r="AE126" i="36" s="1"/>
  <c r="Z126" i="36"/>
  <c r="V127" i="36"/>
  <c r="W127" i="36"/>
  <c r="AD127" i="36" s="1"/>
  <c r="X127" i="36"/>
  <c r="AE127" i="36" s="1"/>
  <c r="V128" i="36"/>
  <c r="W128" i="36"/>
  <c r="AD128" i="36" s="1"/>
  <c r="X128" i="36"/>
  <c r="AE128" i="36" s="1"/>
  <c r="Y128" i="36"/>
  <c r="Z128" i="36"/>
  <c r="V129" i="36"/>
  <c r="W129" i="36"/>
  <c r="AD129" i="36" s="1"/>
  <c r="X129" i="36"/>
  <c r="AE129" i="36" s="1"/>
  <c r="Y129" i="36"/>
  <c r="Z129" i="36"/>
  <c r="V130" i="36"/>
  <c r="W130" i="36"/>
  <c r="AD130" i="36" s="1"/>
  <c r="X130" i="36"/>
  <c r="AE130" i="36" s="1"/>
  <c r="O131" i="36"/>
  <c r="Y131" i="36" s="1"/>
  <c r="P131" i="36"/>
  <c r="Z131" i="36" s="1"/>
  <c r="V131" i="36"/>
  <c r="W131" i="36"/>
  <c r="AD131" i="36" s="1"/>
  <c r="X131" i="36"/>
  <c r="AE131" i="36" s="1"/>
  <c r="O132" i="36"/>
  <c r="Y132" i="36" s="1"/>
  <c r="P132" i="36"/>
  <c r="Z132" i="36" s="1"/>
  <c r="V132" i="36"/>
  <c r="W132" i="36"/>
  <c r="AD132" i="36" s="1"/>
  <c r="X132" i="36"/>
  <c r="AE132" i="36" s="1"/>
  <c r="O133" i="36"/>
  <c r="Y133" i="36" s="1"/>
  <c r="P133" i="36"/>
  <c r="Z133" i="36" s="1"/>
  <c r="V133" i="36"/>
  <c r="W133" i="36"/>
  <c r="AD133" i="36" s="1"/>
  <c r="X133" i="36"/>
  <c r="AE133" i="36" s="1"/>
  <c r="V134" i="36"/>
  <c r="W134" i="36"/>
  <c r="AD134" i="36" s="1"/>
  <c r="X134" i="36"/>
  <c r="AE134" i="36" s="1"/>
  <c r="V135" i="36"/>
  <c r="W135" i="36"/>
  <c r="X135" i="36"/>
  <c r="Y135" i="36"/>
  <c r="Z135" i="36"/>
  <c r="AD135" i="36"/>
  <c r="AE135" i="36"/>
  <c r="V136" i="36"/>
  <c r="W136" i="36"/>
  <c r="AD136" i="36" s="1"/>
  <c r="X136" i="36"/>
  <c r="AE136" i="36" s="1"/>
  <c r="O137" i="36"/>
  <c r="Y137" i="36" s="1"/>
  <c r="P137" i="36"/>
  <c r="V137" i="36"/>
  <c r="W137" i="36"/>
  <c r="AD137" i="36" s="1"/>
  <c r="X137" i="36"/>
  <c r="Z137" i="36"/>
  <c r="AE137" i="36"/>
  <c r="V138" i="36"/>
  <c r="W138" i="36"/>
  <c r="AD138" i="36" s="1"/>
  <c r="X138" i="36"/>
  <c r="AE138" i="36" s="1"/>
  <c r="O139" i="36"/>
  <c r="Y139" i="36" s="1"/>
  <c r="P139" i="36"/>
  <c r="V139" i="36"/>
  <c r="W139" i="36"/>
  <c r="AD139" i="36" s="1"/>
  <c r="X139" i="36"/>
  <c r="AE139" i="36" s="1"/>
  <c r="Z139" i="36"/>
  <c r="O140" i="36"/>
  <c r="Y140" i="36" s="1"/>
  <c r="P140" i="36"/>
  <c r="Z140" i="36" s="1"/>
  <c r="V140" i="36"/>
  <c r="W140" i="36"/>
  <c r="AD140" i="36" s="1"/>
  <c r="X140" i="36"/>
  <c r="AE140" i="36" s="1"/>
  <c r="V141" i="36"/>
  <c r="W141" i="36"/>
  <c r="AD141" i="36" s="1"/>
  <c r="X141" i="36"/>
  <c r="AE141" i="36" s="1"/>
  <c r="O142" i="36"/>
  <c r="Y142" i="36" s="1"/>
  <c r="P142" i="36"/>
  <c r="Z142" i="36" s="1"/>
  <c r="V142" i="36"/>
  <c r="W142" i="36"/>
  <c r="AD142" i="36" s="1"/>
  <c r="X142" i="36"/>
  <c r="AE142" i="36" s="1"/>
  <c r="V143" i="36"/>
  <c r="W143" i="36"/>
  <c r="AD143" i="36" s="1"/>
  <c r="X143" i="36"/>
  <c r="AE143" i="36" s="1"/>
  <c r="V144" i="36"/>
  <c r="W144" i="36"/>
  <c r="AD144" i="36" s="1"/>
  <c r="X144" i="36"/>
  <c r="AE144" i="36" s="1"/>
  <c r="V145" i="36"/>
  <c r="W145" i="36"/>
  <c r="AD145" i="36" s="1"/>
  <c r="X145" i="36"/>
  <c r="AE145" i="36" s="1"/>
  <c r="Y145" i="36"/>
  <c r="Z145" i="36"/>
  <c r="V146" i="36"/>
  <c r="W146" i="36"/>
  <c r="AD146" i="36" s="1"/>
  <c r="X146" i="36"/>
  <c r="AE146" i="36" s="1"/>
  <c r="V147" i="36"/>
  <c r="W147" i="36"/>
  <c r="AD147" i="36" s="1"/>
  <c r="X147" i="36"/>
  <c r="AE147" i="36" s="1"/>
  <c r="O148" i="36"/>
  <c r="P148" i="36"/>
  <c r="Z148" i="36" s="1"/>
  <c r="V148" i="36"/>
  <c r="W148" i="36"/>
  <c r="X148" i="36"/>
  <c r="AE148" i="36" s="1"/>
  <c r="Y148" i="36"/>
  <c r="AD148" i="36"/>
  <c r="V149" i="36"/>
  <c r="W149" i="36"/>
  <c r="X149" i="36"/>
  <c r="AE149" i="36" s="1"/>
  <c r="Y149" i="36"/>
  <c r="Z149" i="36"/>
  <c r="AD149" i="36"/>
  <c r="V150" i="36"/>
  <c r="W150" i="36"/>
  <c r="AD150" i="36" s="1"/>
  <c r="X150" i="36"/>
  <c r="AE150" i="36" s="1"/>
  <c r="Y150" i="36"/>
  <c r="Z150" i="36"/>
  <c r="V151" i="36"/>
  <c r="W151" i="36"/>
  <c r="AD151" i="36" s="1"/>
  <c r="X151" i="36"/>
  <c r="AE151" i="36" s="1"/>
  <c r="O152" i="36"/>
  <c r="Y152" i="36" s="1"/>
  <c r="P152" i="36"/>
  <c r="Z152" i="36" s="1"/>
  <c r="V152" i="36"/>
  <c r="W152" i="36"/>
  <c r="AD152" i="36" s="1"/>
  <c r="X152" i="36"/>
  <c r="AE152" i="36" s="1"/>
  <c r="V153" i="36"/>
  <c r="W153" i="36"/>
  <c r="AD153" i="36" s="1"/>
  <c r="X153" i="36"/>
  <c r="AE153" i="36" s="1"/>
  <c r="V154" i="36"/>
  <c r="W154" i="36"/>
  <c r="AD154" i="36" s="1"/>
  <c r="X154" i="36"/>
  <c r="AE154" i="36" s="1"/>
  <c r="O155" i="36"/>
  <c r="Y155" i="36" s="1"/>
  <c r="P155" i="36"/>
  <c r="Z155" i="36" s="1"/>
  <c r="V155" i="36"/>
  <c r="W155" i="36"/>
  <c r="AD155" i="36" s="1"/>
  <c r="X155" i="36"/>
  <c r="AE155" i="36" s="1"/>
  <c r="O156" i="36"/>
  <c r="P156" i="36"/>
  <c r="Z156" i="36" s="1"/>
  <c r="V156" i="36"/>
  <c r="W156" i="36"/>
  <c r="AD156" i="36" s="1"/>
  <c r="X156" i="36"/>
  <c r="AE156" i="36" s="1"/>
  <c r="Y156" i="36"/>
  <c r="V157" i="36"/>
  <c r="W157" i="36"/>
  <c r="AD157" i="36" s="1"/>
  <c r="X157" i="36"/>
  <c r="AE157" i="36" s="1"/>
  <c r="O158" i="36"/>
  <c r="Y158" i="36" s="1"/>
  <c r="P158" i="36"/>
  <c r="V158" i="36"/>
  <c r="W158" i="36"/>
  <c r="AD158" i="36" s="1"/>
  <c r="X158" i="36"/>
  <c r="Z158" i="36"/>
  <c r="AE158" i="36"/>
  <c r="V159" i="36"/>
  <c r="W159" i="36"/>
  <c r="AD159" i="36" s="1"/>
  <c r="X159" i="36"/>
  <c r="AE159" i="36" s="1"/>
  <c r="O160" i="36"/>
  <c r="Y160" i="36" s="1"/>
  <c r="P160" i="36"/>
  <c r="V160" i="36"/>
  <c r="W160" i="36"/>
  <c r="AD160" i="36" s="1"/>
  <c r="X160" i="36"/>
  <c r="AE160" i="36" s="1"/>
  <c r="Z160" i="36"/>
  <c r="V161" i="36"/>
  <c r="W161" i="36"/>
  <c r="AD161" i="36" s="1"/>
  <c r="X161" i="36"/>
  <c r="AE161" i="36" s="1"/>
  <c r="V162" i="36"/>
  <c r="W162" i="36"/>
  <c r="AD162" i="36" s="1"/>
  <c r="X162" i="36"/>
  <c r="AE162" i="36" s="1"/>
  <c r="V163" i="36"/>
  <c r="W163" i="36"/>
  <c r="AD163" i="36" s="1"/>
  <c r="X163" i="36"/>
  <c r="AE163" i="36" s="1"/>
  <c r="O164" i="36"/>
  <c r="Y164" i="36" s="1"/>
  <c r="P164" i="36"/>
  <c r="V164" i="36"/>
  <c r="W164" i="36"/>
  <c r="X164" i="36"/>
  <c r="AE164" i="36" s="1"/>
  <c r="Z164" i="36"/>
  <c r="AD164" i="36"/>
  <c r="O165" i="36"/>
  <c r="Y165" i="36" s="1"/>
  <c r="P165" i="36"/>
  <c r="Z165" i="36" s="1"/>
  <c r="V165" i="36"/>
  <c r="W165" i="36"/>
  <c r="AD165" i="36" s="1"/>
  <c r="X165" i="36"/>
  <c r="AE165" i="36" s="1"/>
  <c r="V166" i="36"/>
  <c r="W166" i="36"/>
  <c r="AD166" i="36" s="1"/>
  <c r="X166" i="36"/>
  <c r="AE166" i="36" s="1"/>
  <c r="V167" i="36"/>
  <c r="W167" i="36"/>
  <c r="AD167" i="36" s="1"/>
  <c r="X167" i="36"/>
  <c r="AE167" i="36" s="1"/>
  <c r="O168" i="36"/>
  <c r="Y168" i="36" s="1"/>
  <c r="P168" i="36"/>
  <c r="Z168" i="36" s="1"/>
  <c r="V168" i="36"/>
  <c r="W168" i="36"/>
  <c r="AD168" i="36" s="1"/>
  <c r="X168" i="36"/>
  <c r="AE168" i="36"/>
  <c r="O169" i="36"/>
  <c r="Y169" i="36" s="1"/>
  <c r="P169" i="36"/>
  <c r="Z169" i="36" s="1"/>
  <c r="V169" i="36"/>
  <c r="W169" i="36"/>
  <c r="AD169" i="36" s="1"/>
  <c r="X169" i="36"/>
  <c r="AE169" i="36" s="1"/>
  <c r="V170" i="36"/>
  <c r="W170" i="36"/>
  <c r="AD170" i="36" s="1"/>
  <c r="X170" i="36"/>
  <c r="AE170" i="36" s="1"/>
  <c r="O171" i="36"/>
  <c r="Y171" i="36" s="1"/>
  <c r="P171" i="36"/>
  <c r="Z171" i="36" s="1"/>
  <c r="V171" i="36"/>
  <c r="W171" i="36"/>
  <c r="AD171" i="36" s="1"/>
  <c r="X171" i="36"/>
  <c r="AE171" i="36" s="1"/>
  <c r="V172" i="36"/>
  <c r="W172" i="36"/>
  <c r="AD172" i="36" s="1"/>
  <c r="X172" i="36"/>
  <c r="AE172" i="36" s="1"/>
  <c r="V173" i="36"/>
  <c r="W173" i="36"/>
  <c r="AD173" i="36" s="1"/>
  <c r="X173" i="36"/>
  <c r="AE173" i="36" s="1"/>
  <c r="O174" i="36"/>
  <c r="Y174" i="36" s="1"/>
  <c r="P174" i="36"/>
  <c r="Z174" i="36" s="1"/>
  <c r="V174" i="36"/>
  <c r="W174" i="36"/>
  <c r="AD174" i="36" s="1"/>
  <c r="X174" i="36"/>
  <c r="AE174" i="36" s="1"/>
  <c r="O175" i="36"/>
  <c r="Y175" i="36" s="1"/>
  <c r="P175" i="36"/>
  <c r="Z175" i="36" s="1"/>
  <c r="V175" i="36"/>
  <c r="W175" i="36"/>
  <c r="AD175" i="36" s="1"/>
  <c r="X175" i="36"/>
  <c r="AE175" i="36" s="1"/>
  <c r="V176" i="36"/>
  <c r="W176" i="36"/>
  <c r="AD176" i="36" s="1"/>
  <c r="X176" i="36"/>
  <c r="AE176" i="36" s="1"/>
  <c r="O177" i="36"/>
  <c r="Y177" i="36" s="1"/>
  <c r="P177" i="36"/>
  <c r="Z177" i="36" s="1"/>
  <c r="V177" i="36"/>
  <c r="W177" i="36"/>
  <c r="AD177" i="36" s="1"/>
  <c r="X177" i="36"/>
  <c r="AE177" i="36" s="1"/>
  <c r="V178" i="36"/>
  <c r="W178" i="36"/>
  <c r="AD178" i="36" s="1"/>
  <c r="X178" i="36"/>
  <c r="AE178" i="36" s="1"/>
  <c r="Y178" i="36"/>
  <c r="Z178" i="36"/>
  <c r="O179" i="36"/>
  <c r="P179" i="36"/>
  <c r="Z179" i="36" s="1"/>
  <c r="V179" i="36"/>
  <c r="W179" i="36"/>
  <c r="AD179" i="36" s="1"/>
  <c r="X179" i="36"/>
  <c r="AE179" i="36" s="1"/>
  <c r="Y179" i="36"/>
  <c r="O180" i="36"/>
  <c r="Y180" i="36" s="1"/>
  <c r="P180" i="36"/>
  <c r="Z180" i="36" s="1"/>
  <c r="V180" i="36"/>
  <c r="W180" i="36"/>
  <c r="AD180" i="36" s="1"/>
  <c r="X180" i="36"/>
  <c r="AE180" i="36" s="1"/>
  <c r="V181" i="36"/>
  <c r="W181" i="36"/>
  <c r="AD181" i="36" s="1"/>
  <c r="X181" i="36"/>
  <c r="AE181" i="36" s="1"/>
  <c r="O182" i="36"/>
  <c r="Y182" i="36" s="1"/>
  <c r="P182" i="36"/>
  <c r="Z182" i="36" s="1"/>
  <c r="V182" i="36"/>
  <c r="W182" i="36"/>
  <c r="AD182" i="36" s="1"/>
  <c r="X182" i="36"/>
  <c r="AE182" i="36" s="1"/>
  <c r="V183" i="36"/>
  <c r="W183" i="36"/>
  <c r="AD183" i="36" s="1"/>
  <c r="X183" i="36"/>
  <c r="AE183" i="36" s="1"/>
  <c r="O184" i="36"/>
  <c r="Y184" i="36" s="1"/>
  <c r="P184" i="36"/>
  <c r="Z184" i="36" s="1"/>
  <c r="V184" i="36"/>
  <c r="W184" i="36"/>
  <c r="AD184" i="36" s="1"/>
  <c r="X184" i="36"/>
  <c r="AE184" i="36" s="1"/>
  <c r="O185" i="36"/>
  <c r="P185" i="36"/>
  <c r="Z185" i="36" s="1"/>
  <c r="V185" i="36"/>
  <c r="W185" i="36"/>
  <c r="AD185" i="36" s="1"/>
  <c r="X185" i="36"/>
  <c r="AE185" i="36" s="1"/>
  <c r="Y185" i="36"/>
  <c r="O186" i="36"/>
  <c r="Y186" i="36" s="1"/>
  <c r="P186" i="36"/>
  <c r="Z186" i="36" s="1"/>
  <c r="V186" i="36"/>
  <c r="W186" i="36"/>
  <c r="AD186" i="36" s="1"/>
  <c r="X186" i="36"/>
  <c r="AE186" i="36" s="1"/>
  <c r="V187" i="36"/>
  <c r="W187" i="36"/>
  <c r="AD187" i="36" s="1"/>
  <c r="X187" i="36"/>
  <c r="AE187" i="36" s="1"/>
  <c r="V188" i="36"/>
  <c r="W188" i="36"/>
  <c r="AD188" i="36" s="1"/>
  <c r="X188" i="36"/>
  <c r="AE188" i="36" s="1"/>
  <c r="O189" i="36"/>
  <c r="Y189" i="36" s="1"/>
  <c r="P189" i="36"/>
  <c r="Z189" i="36" s="1"/>
  <c r="V189" i="36"/>
  <c r="W189" i="36"/>
  <c r="AD189" i="36" s="1"/>
  <c r="X189" i="36"/>
  <c r="AE189" i="36" s="1"/>
  <c r="V190" i="36"/>
  <c r="W190" i="36"/>
  <c r="AD190" i="36" s="1"/>
  <c r="X190" i="36"/>
  <c r="AE190" i="36" s="1"/>
  <c r="V191" i="36"/>
  <c r="W191" i="36"/>
  <c r="AD191" i="36" s="1"/>
  <c r="X191" i="36"/>
  <c r="AE191" i="36" s="1"/>
  <c r="V192" i="36"/>
  <c r="W192" i="36"/>
  <c r="AD192" i="36" s="1"/>
  <c r="X192" i="36"/>
  <c r="AE192" i="36" s="1"/>
  <c r="O193" i="36"/>
  <c r="Y193" i="36" s="1"/>
  <c r="P193" i="36"/>
  <c r="Z193" i="36" s="1"/>
  <c r="V193" i="36"/>
  <c r="W193" i="36"/>
  <c r="AD193" i="36" s="1"/>
  <c r="X193" i="36"/>
  <c r="AE193" i="36" s="1"/>
  <c r="O194" i="36"/>
  <c r="P194" i="36"/>
  <c r="Z194" i="36" s="1"/>
  <c r="V194" i="36"/>
  <c r="W194" i="36"/>
  <c r="AD194" i="36" s="1"/>
  <c r="X194" i="36"/>
  <c r="AE194" i="36" s="1"/>
  <c r="Y194" i="36"/>
  <c r="V195" i="36"/>
  <c r="W195" i="36"/>
  <c r="AD195" i="36" s="1"/>
  <c r="X195" i="36"/>
  <c r="AE195" i="36" s="1"/>
  <c r="O196" i="36"/>
  <c r="Y196" i="36" s="1"/>
  <c r="P196" i="36"/>
  <c r="Z196" i="36" s="1"/>
  <c r="V196" i="36"/>
  <c r="W196" i="36"/>
  <c r="AD196" i="36" s="1"/>
  <c r="X196" i="36"/>
  <c r="AE196" i="36" s="1"/>
  <c r="V197" i="36"/>
  <c r="W197" i="36"/>
  <c r="AD197" i="36" s="1"/>
  <c r="X197" i="36"/>
  <c r="AE197" i="36" s="1"/>
  <c r="Y197" i="36"/>
  <c r="Z197" i="36"/>
  <c r="O198" i="36"/>
  <c r="Y198" i="36" s="1"/>
  <c r="P198" i="36"/>
  <c r="Z198" i="36" s="1"/>
  <c r="V198" i="36"/>
  <c r="W198" i="36"/>
  <c r="AD198" i="36" s="1"/>
  <c r="X198" i="36"/>
  <c r="AE198" i="36" s="1"/>
  <c r="O199" i="36"/>
  <c r="Y199" i="36" s="1"/>
  <c r="P199" i="36"/>
  <c r="V199" i="36"/>
  <c r="W199" i="36"/>
  <c r="AD199" i="36" s="1"/>
  <c r="X199" i="36"/>
  <c r="AE199" i="36" s="1"/>
  <c r="Z199" i="36"/>
  <c r="O200" i="36"/>
  <c r="Y200" i="36" s="1"/>
  <c r="P200" i="36"/>
  <c r="Z200" i="36" s="1"/>
  <c r="V200" i="36"/>
  <c r="W200" i="36"/>
  <c r="AD200" i="36" s="1"/>
  <c r="X200" i="36"/>
  <c r="AE200" i="36" s="1"/>
  <c r="M5" i="32"/>
  <c r="M6" i="32"/>
  <c r="M7" i="32"/>
  <c r="M8" i="32"/>
  <c r="D9" i="32"/>
  <c r="E9" i="32"/>
  <c r="F9" i="32"/>
  <c r="G9" i="32"/>
  <c r="H9" i="32"/>
  <c r="I9" i="32"/>
  <c r="L9" i="32"/>
  <c r="M10" i="32"/>
  <c r="AC12" i="29"/>
  <c r="AC13" i="29"/>
  <c r="AC14" i="29"/>
  <c r="AC15" i="29"/>
  <c r="AC16" i="29"/>
  <c r="F4" i="25"/>
  <c r="F5" i="25"/>
  <c r="F6" i="25"/>
  <c r="F7" i="25"/>
  <c r="F8" i="25"/>
  <c r="L23" i="20"/>
  <c r="M23" i="20"/>
  <c r="N23" i="20"/>
  <c r="L24" i="20"/>
  <c r="M24" i="20"/>
  <c r="M25" i="20" s="1"/>
  <c r="J7" i="20" s="1"/>
  <c r="N24" i="20"/>
  <c r="F25" i="20"/>
  <c r="C7" i="20" s="1"/>
  <c r="G25" i="20"/>
  <c r="D7" i="20" s="1"/>
  <c r="H25" i="20"/>
  <c r="E7" i="20" s="1"/>
  <c r="I25" i="20"/>
  <c r="J25" i="20"/>
  <c r="K25" i="20"/>
  <c r="L25" i="20"/>
  <c r="I7" i="20" s="1"/>
  <c r="N25" i="20"/>
  <c r="K7" i="20" s="1"/>
  <c r="L23" i="19"/>
  <c r="M23" i="19"/>
  <c r="N23" i="19"/>
  <c r="L24" i="19"/>
  <c r="L25" i="19" s="1"/>
  <c r="M24" i="19"/>
  <c r="N24" i="19"/>
  <c r="F25" i="19"/>
  <c r="G25" i="19"/>
  <c r="H25" i="19"/>
  <c r="M25" i="19"/>
  <c r="P5" i="18"/>
  <c r="Q5" i="18"/>
  <c r="R5" i="18"/>
  <c r="P6" i="18"/>
  <c r="Q6" i="18"/>
  <c r="R6" i="18"/>
  <c r="P7" i="18"/>
  <c r="Q7" i="18"/>
  <c r="R7" i="18"/>
  <c r="P8" i="18"/>
  <c r="Q8" i="18"/>
  <c r="R8" i="18"/>
  <c r="P9" i="18"/>
  <c r="Q9" i="18"/>
  <c r="R9" i="18"/>
  <c r="P10" i="18"/>
  <c r="Q10" i="18"/>
  <c r="R10" i="18"/>
  <c r="P11" i="18"/>
  <c r="Q11" i="18"/>
  <c r="R11" i="18"/>
  <c r="P12" i="18"/>
  <c r="Q12" i="18"/>
  <c r="R12" i="18"/>
  <c r="P13" i="18"/>
  <c r="Q13" i="18"/>
  <c r="R13" i="18"/>
  <c r="P14" i="18"/>
  <c r="Q14" i="18"/>
  <c r="R14" i="18"/>
  <c r="P15" i="18"/>
  <c r="Q15" i="18"/>
  <c r="R15" i="18"/>
  <c r="P16" i="18"/>
  <c r="Q16" i="18"/>
  <c r="R16" i="18"/>
  <c r="P17" i="18"/>
  <c r="Q17" i="18"/>
  <c r="R17" i="18"/>
  <c r="P18" i="18"/>
  <c r="Q18" i="18"/>
  <c r="R18" i="18"/>
  <c r="P19" i="18"/>
  <c r="Q19" i="18"/>
  <c r="R19" i="18"/>
  <c r="P20" i="18"/>
  <c r="Q20" i="18"/>
  <c r="R20" i="18"/>
  <c r="P21" i="18"/>
  <c r="Q21" i="18"/>
  <c r="R21" i="18"/>
  <c r="P22" i="18"/>
  <c r="Q22" i="18"/>
  <c r="R22" i="18"/>
  <c r="P23" i="18"/>
  <c r="Q23" i="18"/>
  <c r="R23" i="18"/>
  <c r="P24" i="18"/>
  <c r="Q24" i="18"/>
  <c r="R24" i="18"/>
  <c r="P25" i="18"/>
  <c r="Q25" i="18"/>
  <c r="R25" i="18"/>
  <c r="P26" i="18"/>
  <c r="Q26" i="18"/>
  <c r="R26" i="18"/>
  <c r="P27" i="18"/>
  <c r="Q27" i="18"/>
  <c r="R27" i="18"/>
  <c r="P28" i="18"/>
  <c r="Q28" i="18"/>
  <c r="R28" i="18"/>
  <c r="P29" i="18"/>
  <c r="Q29" i="18"/>
  <c r="R29" i="18"/>
  <c r="P30" i="18"/>
  <c r="Q30" i="18"/>
  <c r="R30" i="18"/>
  <c r="P31" i="18"/>
  <c r="Q31" i="18"/>
  <c r="R31" i="18"/>
  <c r="P32" i="18"/>
  <c r="Q32" i="18"/>
  <c r="R32" i="18"/>
  <c r="P33" i="18"/>
  <c r="Q33" i="18"/>
  <c r="R33" i="18"/>
  <c r="P34" i="18"/>
  <c r="Q34" i="18"/>
  <c r="R34" i="18"/>
  <c r="P35" i="18"/>
  <c r="Q35" i="18"/>
  <c r="R35" i="18"/>
  <c r="P36" i="18"/>
  <c r="Q36" i="18"/>
  <c r="R36" i="18"/>
  <c r="P37" i="18"/>
  <c r="Q37" i="18"/>
  <c r="R37" i="18"/>
  <c r="P38" i="18"/>
  <c r="Q38" i="18"/>
  <c r="R38" i="18"/>
  <c r="P39" i="18"/>
  <c r="Q39" i="18"/>
  <c r="R39" i="18"/>
  <c r="P40" i="18"/>
  <c r="Q40" i="18"/>
  <c r="R40" i="18"/>
  <c r="P41" i="18"/>
  <c r="Q41" i="18"/>
  <c r="R41" i="18"/>
  <c r="P42" i="18"/>
  <c r="Q42" i="18"/>
  <c r="R42" i="18"/>
  <c r="P43" i="18"/>
  <c r="Q43" i="18"/>
  <c r="R43" i="18"/>
  <c r="P44" i="18"/>
  <c r="Q44" i="18"/>
  <c r="R44" i="18"/>
  <c r="P45" i="18"/>
  <c r="Q45" i="18"/>
  <c r="R45" i="18"/>
  <c r="P46" i="18"/>
  <c r="Q46" i="18"/>
  <c r="R46" i="18"/>
  <c r="P47" i="18"/>
  <c r="Q47" i="18"/>
  <c r="R47" i="18"/>
  <c r="P48" i="18"/>
  <c r="Q48" i="18"/>
  <c r="R48" i="18"/>
  <c r="P49" i="18"/>
  <c r="Q49" i="18"/>
  <c r="R49" i="18"/>
  <c r="P50" i="18"/>
  <c r="Q50" i="18"/>
  <c r="R50" i="18"/>
  <c r="P51" i="18"/>
  <c r="Q51" i="18"/>
  <c r="R51" i="18"/>
  <c r="P52" i="18"/>
  <c r="Q52" i="18"/>
  <c r="R52" i="18"/>
  <c r="P53" i="18"/>
  <c r="Q53" i="18"/>
  <c r="R53" i="18"/>
  <c r="P54" i="18"/>
  <c r="Q54" i="18"/>
  <c r="R54" i="18"/>
  <c r="P55" i="18"/>
  <c r="Q55" i="18"/>
  <c r="R55" i="18"/>
  <c r="P56" i="18"/>
  <c r="Q56" i="18"/>
  <c r="R56" i="18"/>
  <c r="P57" i="18"/>
  <c r="Q57" i="18"/>
  <c r="R57" i="18"/>
  <c r="P58" i="18"/>
  <c r="Q58" i="18"/>
  <c r="R58" i="18"/>
  <c r="P59" i="18"/>
  <c r="Q59" i="18"/>
  <c r="R59" i="18"/>
  <c r="P60" i="18"/>
  <c r="Q60" i="18"/>
  <c r="R60" i="18"/>
  <c r="P61" i="18"/>
  <c r="Q61" i="18"/>
  <c r="R61" i="18"/>
  <c r="P62" i="18"/>
  <c r="Q62" i="18"/>
  <c r="R62" i="18"/>
  <c r="P63" i="18"/>
  <c r="Q63" i="18"/>
  <c r="R63" i="18"/>
  <c r="P64" i="18"/>
  <c r="Q64" i="18"/>
  <c r="R64" i="18"/>
  <c r="P65" i="18"/>
  <c r="Q65" i="18"/>
  <c r="R65" i="18"/>
  <c r="P66" i="18"/>
  <c r="Q66" i="18"/>
  <c r="R66" i="18"/>
  <c r="P67" i="18"/>
  <c r="Q67" i="18"/>
  <c r="R67" i="18"/>
  <c r="P68" i="18"/>
  <c r="Q68" i="18"/>
  <c r="R68" i="18"/>
  <c r="P69" i="18"/>
  <c r="Q69" i="18"/>
  <c r="R69" i="18"/>
  <c r="P70" i="18"/>
  <c r="Q70" i="18"/>
  <c r="R70" i="18"/>
  <c r="P71" i="18"/>
  <c r="Q71" i="18"/>
  <c r="R71" i="18"/>
  <c r="P72" i="18"/>
  <c r="Q72" i="18"/>
  <c r="R72" i="18"/>
  <c r="P73" i="18"/>
  <c r="Q73" i="18"/>
  <c r="R73" i="18"/>
  <c r="P74" i="18"/>
  <c r="Q74" i="18"/>
  <c r="R74" i="18"/>
  <c r="P75" i="18"/>
  <c r="Q75" i="18"/>
  <c r="R75" i="18"/>
  <c r="P76" i="18"/>
  <c r="Q76" i="18"/>
  <c r="R76" i="18"/>
  <c r="P77" i="18"/>
  <c r="Q77" i="18"/>
  <c r="R77" i="18"/>
  <c r="P78" i="18"/>
  <c r="Q78" i="18"/>
  <c r="R78" i="18"/>
  <c r="P79" i="18"/>
  <c r="Q79" i="18"/>
  <c r="R79" i="18"/>
  <c r="P80" i="18"/>
  <c r="Q80" i="18"/>
  <c r="R80" i="18"/>
  <c r="P81" i="18"/>
  <c r="Q81" i="18"/>
  <c r="R81" i="18"/>
  <c r="P82" i="18"/>
  <c r="Q82" i="18"/>
  <c r="R82" i="18"/>
  <c r="P83" i="18"/>
  <c r="Q83" i="18"/>
  <c r="R83" i="18"/>
  <c r="P84" i="18"/>
  <c r="Q84" i="18"/>
  <c r="R84" i="18"/>
  <c r="P85" i="18"/>
  <c r="Q85" i="18"/>
  <c r="R85" i="18"/>
  <c r="P86" i="18"/>
  <c r="Q86" i="18"/>
  <c r="R86" i="18"/>
  <c r="P87" i="18"/>
  <c r="Q87" i="18"/>
  <c r="R87" i="18"/>
  <c r="P88" i="18"/>
  <c r="Q88" i="18"/>
  <c r="R88" i="18"/>
  <c r="P89" i="18"/>
  <c r="Q89" i="18"/>
  <c r="R89" i="18"/>
  <c r="P90" i="18"/>
  <c r="Q90" i="18"/>
  <c r="R90" i="18"/>
  <c r="P91" i="18"/>
  <c r="Q91" i="18"/>
  <c r="R91" i="18"/>
  <c r="P92" i="18"/>
  <c r="Q92" i="18"/>
  <c r="R92" i="18"/>
  <c r="P93" i="18"/>
  <c r="Q93" i="18"/>
  <c r="R93" i="18"/>
  <c r="P94" i="18"/>
  <c r="Q94" i="18"/>
  <c r="R94" i="18"/>
  <c r="P95" i="18"/>
  <c r="Q95" i="18"/>
  <c r="R95" i="18"/>
  <c r="P96" i="18"/>
  <c r="Q96" i="18"/>
  <c r="R96" i="18"/>
  <c r="P97" i="18"/>
  <c r="Q97" i="18"/>
  <c r="R97" i="18"/>
  <c r="P98" i="18"/>
  <c r="Q98" i="18"/>
  <c r="R98" i="18"/>
  <c r="P99" i="18"/>
  <c r="Q99" i="18"/>
  <c r="R99" i="18"/>
  <c r="P100" i="18"/>
  <c r="Q100" i="18"/>
  <c r="R100" i="18"/>
  <c r="P101" i="18"/>
  <c r="Q101" i="18"/>
  <c r="R101" i="18"/>
  <c r="P102" i="18"/>
  <c r="Q102" i="18"/>
  <c r="R102" i="18"/>
  <c r="P103" i="18"/>
  <c r="Q103" i="18"/>
  <c r="R103" i="18"/>
  <c r="P104" i="18"/>
  <c r="Q104" i="18"/>
  <c r="R104" i="18"/>
  <c r="P105" i="18"/>
  <c r="Q105" i="18"/>
  <c r="R105" i="18"/>
  <c r="P106" i="18"/>
  <c r="Q106" i="18"/>
  <c r="R106" i="18"/>
  <c r="P107" i="18"/>
  <c r="Q107" i="18"/>
  <c r="R107" i="18"/>
  <c r="P108" i="18"/>
  <c r="Q108" i="18"/>
  <c r="R108" i="18"/>
  <c r="P109" i="18"/>
  <c r="Q109" i="18"/>
  <c r="R109" i="18"/>
  <c r="P110" i="18"/>
  <c r="Q110" i="18"/>
  <c r="R110" i="18"/>
  <c r="P111" i="18"/>
  <c r="Q111" i="18"/>
  <c r="R111" i="18"/>
  <c r="P112" i="18"/>
  <c r="Q112" i="18"/>
  <c r="R112" i="18"/>
  <c r="P113" i="18"/>
  <c r="Q113" i="18"/>
  <c r="R113" i="18"/>
  <c r="P114" i="18"/>
  <c r="Q114" i="18"/>
  <c r="R114" i="18"/>
  <c r="P115" i="18"/>
  <c r="Q115" i="18"/>
  <c r="R115" i="18"/>
  <c r="P116" i="18"/>
  <c r="Q116" i="18"/>
  <c r="R116" i="18"/>
  <c r="P117" i="18"/>
  <c r="Q117" i="18"/>
  <c r="R117" i="18"/>
  <c r="P118" i="18"/>
  <c r="Q118" i="18"/>
  <c r="R118" i="18"/>
  <c r="P119" i="18"/>
  <c r="Q119" i="18"/>
  <c r="R119" i="18"/>
  <c r="P120" i="18"/>
  <c r="Q120" i="18"/>
  <c r="R120" i="18"/>
  <c r="P121" i="18"/>
  <c r="Q121" i="18"/>
  <c r="R121" i="18"/>
  <c r="P122" i="18"/>
  <c r="Q122" i="18"/>
  <c r="R122" i="18"/>
  <c r="P123" i="18"/>
  <c r="Q123" i="18"/>
  <c r="R123" i="18"/>
  <c r="P124" i="18"/>
  <c r="Q124" i="18"/>
  <c r="R124" i="18"/>
  <c r="P125" i="18"/>
  <c r="Q125" i="18"/>
  <c r="R125" i="18"/>
  <c r="P126" i="18"/>
  <c r="Q126" i="18"/>
  <c r="R126" i="18"/>
  <c r="P127" i="18"/>
  <c r="Q127" i="18"/>
  <c r="R127" i="18"/>
  <c r="P128" i="18"/>
  <c r="Q128" i="18"/>
  <c r="R128" i="18"/>
  <c r="P129" i="18"/>
  <c r="Q129" i="18"/>
  <c r="R129" i="18"/>
  <c r="P130" i="18"/>
  <c r="Q130" i="18"/>
  <c r="R130" i="18"/>
  <c r="P131" i="18"/>
  <c r="Q131" i="18"/>
  <c r="R131" i="18"/>
  <c r="P132" i="18"/>
  <c r="Q132" i="18"/>
  <c r="R132" i="18"/>
  <c r="P133" i="18"/>
  <c r="Q133" i="18"/>
  <c r="R133" i="18"/>
  <c r="P134" i="18"/>
  <c r="Q134" i="18"/>
  <c r="R134" i="18"/>
  <c r="P135" i="18"/>
  <c r="Q135" i="18"/>
  <c r="R135" i="18"/>
  <c r="P136" i="18"/>
  <c r="Q136" i="18"/>
  <c r="R136" i="18"/>
  <c r="P137" i="18"/>
  <c r="Q137" i="18"/>
  <c r="R137" i="18"/>
  <c r="P138" i="18"/>
  <c r="Q138" i="18"/>
  <c r="R138" i="18"/>
  <c r="P139" i="18"/>
  <c r="Q139" i="18"/>
  <c r="R139" i="18"/>
  <c r="P140" i="18"/>
  <c r="Q140" i="18"/>
  <c r="R140" i="18"/>
  <c r="P141" i="18"/>
  <c r="Q141" i="18"/>
  <c r="R141" i="18"/>
  <c r="P142" i="18"/>
  <c r="Q142" i="18"/>
  <c r="R142" i="18"/>
  <c r="P143" i="18"/>
  <c r="Q143" i="18"/>
  <c r="R143" i="18"/>
  <c r="P144" i="18"/>
  <c r="Q144" i="18"/>
  <c r="R144" i="18"/>
  <c r="P145" i="18"/>
  <c r="Q145" i="18"/>
  <c r="R145" i="18"/>
  <c r="P146" i="18"/>
  <c r="Q146" i="18"/>
  <c r="R146" i="18"/>
  <c r="P147" i="18"/>
  <c r="Q147" i="18"/>
  <c r="R147" i="18"/>
  <c r="P148" i="18"/>
  <c r="Q148" i="18"/>
  <c r="R148" i="18"/>
  <c r="P149" i="18"/>
  <c r="Q149" i="18"/>
  <c r="R149" i="18"/>
  <c r="P150" i="18"/>
  <c r="Q150" i="18"/>
  <c r="R150" i="18"/>
  <c r="P151" i="18"/>
  <c r="Q151" i="18"/>
  <c r="R151" i="18"/>
  <c r="P152" i="18"/>
  <c r="Q152" i="18"/>
  <c r="R152" i="18"/>
  <c r="P153" i="18"/>
  <c r="Q153" i="18"/>
  <c r="R153" i="18"/>
  <c r="P154" i="18"/>
  <c r="Q154" i="18"/>
  <c r="R154" i="18"/>
  <c r="P155" i="18"/>
  <c r="Q155" i="18"/>
  <c r="R155" i="18"/>
  <c r="P156" i="18"/>
  <c r="Q156" i="18"/>
  <c r="R156" i="18"/>
  <c r="P157" i="18"/>
  <c r="Q157" i="18"/>
  <c r="R157" i="18"/>
  <c r="P158" i="18"/>
  <c r="Q158" i="18"/>
  <c r="R158" i="18"/>
  <c r="P159" i="18"/>
  <c r="Q159" i="18"/>
  <c r="R159" i="18"/>
  <c r="P160" i="18"/>
  <c r="Q160" i="18"/>
  <c r="R160" i="18"/>
  <c r="P161" i="18"/>
  <c r="Q161" i="18"/>
  <c r="R161" i="18"/>
  <c r="P162" i="18"/>
  <c r="Q162" i="18"/>
  <c r="R162" i="18"/>
  <c r="P163" i="18"/>
  <c r="Q163" i="18"/>
  <c r="R163" i="18"/>
  <c r="P164" i="18"/>
  <c r="Q164" i="18"/>
  <c r="R164" i="18"/>
  <c r="P165" i="18"/>
  <c r="Q165" i="18"/>
  <c r="R165" i="18"/>
  <c r="P166" i="18"/>
  <c r="Q166" i="18"/>
  <c r="R166" i="18"/>
  <c r="P167" i="18"/>
  <c r="Q167" i="18"/>
  <c r="R167" i="18"/>
  <c r="P168" i="18"/>
  <c r="Q168" i="18"/>
  <c r="R168" i="18"/>
  <c r="P169" i="18"/>
  <c r="Q169" i="18"/>
  <c r="R169" i="18"/>
  <c r="P170" i="18"/>
  <c r="Q170" i="18"/>
  <c r="R170" i="18"/>
  <c r="P171" i="18"/>
  <c r="Q171" i="18"/>
  <c r="R171" i="18"/>
  <c r="P172" i="18"/>
  <c r="Q172" i="18"/>
  <c r="R172" i="18"/>
  <c r="P173" i="18"/>
  <c r="Q173" i="18"/>
  <c r="R173" i="18"/>
  <c r="P174" i="18"/>
  <c r="Q174" i="18"/>
  <c r="R174" i="18"/>
  <c r="P175" i="18"/>
  <c r="Q175" i="18"/>
  <c r="R175" i="18"/>
  <c r="P176" i="18"/>
  <c r="Q176" i="18"/>
  <c r="R176" i="18"/>
  <c r="P177" i="18"/>
  <c r="Q177" i="18"/>
  <c r="R177" i="18"/>
  <c r="P178" i="18"/>
  <c r="Q178" i="18"/>
  <c r="R178" i="18"/>
  <c r="P179" i="18"/>
  <c r="Q179" i="18"/>
  <c r="R179" i="18"/>
  <c r="P180" i="18"/>
  <c r="Q180" i="18"/>
  <c r="R180" i="18"/>
  <c r="P181" i="18"/>
  <c r="Q181" i="18"/>
  <c r="R181" i="18"/>
  <c r="P182" i="18"/>
  <c r="Q182" i="18"/>
  <c r="R182" i="18"/>
  <c r="P183" i="18"/>
  <c r="Q183" i="18"/>
  <c r="R183" i="18"/>
  <c r="P184" i="18"/>
  <c r="Q184" i="18"/>
  <c r="R184" i="18"/>
  <c r="P185" i="18"/>
  <c r="Q185" i="18"/>
  <c r="R185" i="18"/>
  <c r="P186" i="18"/>
  <c r="Q186" i="18"/>
  <c r="R186" i="18"/>
  <c r="P187" i="18"/>
  <c r="Q187" i="18"/>
  <c r="R187" i="18"/>
  <c r="P188" i="18"/>
  <c r="Q188" i="18"/>
  <c r="R188" i="18"/>
  <c r="P189" i="18"/>
  <c r="Q189" i="18"/>
  <c r="R189" i="18"/>
  <c r="P190" i="18"/>
  <c r="Q190" i="18"/>
  <c r="R190" i="18"/>
  <c r="P191" i="18"/>
  <c r="Q191" i="18"/>
  <c r="R191" i="18"/>
  <c r="P192" i="18"/>
  <c r="Q192" i="18"/>
  <c r="R192" i="18"/>
  <c r="P193" i="18"/>
  <c r="Q193" i="18"/>
  <c r="R193" i="18"/>
  <c r="P194" i="18"/>
  <c r="Q194" i="18"/>
  <c r="R194" i="18"/>
  <c r="P195" i="18"/>
  <c r="Q195" i="18"/>
  <c r="R195" i="18"/>
  <c r="P196" i="18"/>
  <c r="Q196" i="18"/>
  <c r="R196" i="18"/>
  <c r="P197" i="18"/>
  <c r="Q197" i="18"/>
  <c r="R197" i="18"/>
  <c r="P198" i="18"/>
  <c r="Q198" i="18"/>
  <c r="R198" i="18"/>
  <c r="P199" i="18"/>
  <c r="Q199" i="18"/>
  <c r="R199" i="18"/>
  <c r="P200" i="18"/>
  <c r="Q200" i="18"/>
  <c r="R200" i="18"/>
  <c r="D3" i="17"/>
  <c r="F3" i="17" s="1"/>
  <c r="L3" i="7" s="1"/>
  <c r="M3" i="7" s="1"/>
  <c r="N3" i="7" s="1"/>
  <c r="E3" i="17"/>
  <c r="D4" i="17"/>
  <c r="E4" i="17"/>
  <c r="D5" i="17"/>
  <c r="E5" i="17"/>
  <c r="D6" i="17"/>
  <c r="E6" i="17"/>
  <c r="F6" i="17" s="1"/>
  <c r="D7" i="17"/>
  <c r="F7" i="17" s="1"/>
  <c r="L7" i="7" s="1"/>
  <c r="E7" i="17"/>
  <c r="D8" i="17"/>
  <c r="E8" i="17"/>
  <c r="F8" i="17"/>
  <c r="L8" i="7" s="1"/>
  <c r="D9" i="17"/>
  <c r="E9" i="17"/>
  <c r="D10" i="17"/>
  <c r="E10" i="17"/>
  <c r="D11" i="17"/>
  <c r="E11" i="17"/>
  <c r="D12" i="17"/>
  <c r="E12" i="17"/>
  <c r="F12" i="17" s="1"/>
  <c r="L12" i="7" s="1"/>
  <c r="D13" i="17"/>
  <c r="F13" i="17" s="1"/>
  <c r="L13" i="7" s="1"/>
  <c r="E13" i="17"/>
  <c r="D14" i="17"/>
  <c r="E14" i="17"/>
  <c r="D15" i="17"/>
  <c r="E15" i="17"/>
  <c r="D16" i="17"/>
  <c r="F16" i="17" s="1"/>
  <c r="L16" i="7" s="1"/>
  <c r="M16" i="7" s="1"/>
  <c r="N16" i="7" s="1"/>
  <c r="E16" i="17"/>
  <c r="D17" i="17"/>
  <c r="E17" i="17"/>
  <c r="D18" i="17"/>
  <c r="E18" i="17"/>
  <c r="D19" i="17"/>
  <c r="E19" i="17"/>
  <c r="F19" i="17" s="1"/>
  <c r="L19" i="7" s="1"/>
  <c r="D20" i="17"/>
  <c r="E20" i="17"/>
  <c r="D21" i="17"/>
  <c r="E21" i="17"/>
  <c r="D22" i="17"/>
  <c r="F22" i="17" s="1"/>
  <c r="E22" i="17"/>
  <c r="D23" i="17"/>
  <c r="E23" i="17"/>
  <c r="D24" i="17"/>
  <c r="F24" i="17" s="1"/>
  <c r="L24" i="7" s="1"/>
  <c r="M24" i="7" s="1"/>
  <c r="N24" i="7" s="1"/>
  <c r="E24" i="17"/>
  <c r="D25" i="17"/>
  <c r="E25" i="17"/>
  <c r="F25" i="17" s="1"/>
  <c r="L25" i="7" s="1"/>
  <c r="D26" i="17"/>
  <c r="E26" i="17"/>
  <c r="D27" i="17"/>
  <c r="E27" i="17"/>
  <c r="D28" i="17"/>
  <c r="E28" i="17"/>
  <c r="D29" i="17"/>
  <c r="E29" i="17"/>
  <c r="D30" i="17"/>
  <c r="F30" i="17" s="1"/>
  <c r="E30" i="17"/>
  <c r="D31" i="17"/>
  <c r="E31" i="17"/>
  <c r="D32" i="17"/>
  <c r="E32" i="17"/>
  <c r="F32" i="17"/>
  <c r="D33" i="17"/>
  <c r="E33" i="17"/>
  <c r="D34" i="17"/>
  <c r="E34" i="17"/>
  <c r="D35" i="17"/>
  <c r="E35" i="17"/>
  <c r="D36" i="17"/>
  <c r="E36" i="17"/>
  <c r="F36" i="17" s="1"/>
  <c r="D37" i="17"/>
  <c r="E37" i="17"/>
  <c r="D38" i="17"/>
  <c r="E38" i="17"/>
  <c r="D39" i="17"/>
  <c r="F39" i="17" s="1"/>
  <c r="L39" i="7" s="1"/>
  <c r="E39" i="17"/>
  <c r="D40" i="17"/>
  <c r="E40" i="17"/>
  <c r="F40" i="17"/>
  <c r="D41" i="17"/>
  <c r="E41" i="17"/>
  <c r="D42" i="17"/>
  <c r="E42" i="17"/>
  <c r="D43" i="17"/>
  <c r="E43" i="17"/>
  <c r="D44" i="17"/>
  <c r="E44" i="17"/>
  <c r="F44" i="17" s="1"/>
  <c r="D45" i="17"/>
  <c r="E45" i="17"/>
  <c r="D46" i="17"/>
  <c r="E46" i="17"/>
  <c r="D47" i="17"/>
  <c r="E47" i="17"/>
  <c r="D48" i="17"/>
  <c r="F48" i="17" s="1"/>
  <c r="L48" i="7" s="1"/>
  <c r="C14" i="7" s="1"/>
  <c r="E48" i="17"/>
  <c r="D49" i="17"/>
  <c r="E49" i="17"/>
  <c r="F49" i="17" s="1"/>
  <c r="D50" i="17"/>
  <c r="E50" i="17"/>
  <c r="D51" i="17"/>
  <c r="E51" i="17"/>
  <c r="D52" i="17"/>
  <c r="E52" i="17"/>
  <c r="D53" i="17"/>
  <c r="E53" i="17"/>
  <c r="D54" i="17"/>
  <c r="F54" i="17" s="1"/>
  <c r="E54" i="17"/>
  <c r="D55" i="17"/>
  <c r="E55" i="17"/>
  <c r="D56" i="17"/>
  <c r="F56" i="17" s="1"/>
  <c r="L56" i="7" s="1"/>
  <c r="M56" i="7" s="1"/>
  <c r="N56" i="7" s="1"/>
  <c r="E56" i="17"/>
  <c r="D57" i="17"/>
  <c r="E57" i="17"/>
  <c r="F57" i="17" s="1"/>
  <c r="D58" i="17"/>
  <c r="E58" i="17"/>
  <c r="D59" i="17"/>
  <c r="E59" i="17"/>
  <c r="D60" i="17"/>
  <c r="E60" i="17"/>
  <c r="D61" i="17"/>
  <c r="E61" i="17"/>
  <c r="D62" i="17"/>
  <c r="F62" i="17" s="1"/>
  <c r="E62" i="17"/>
  <c r="D63" i="17"/>
  <c r="E63" i="17"/>
  <c r="D64" i="17"/>
  <c r="E64" i="17"/>
  <c r="F64" i="17"/>
  <c r="D65" i="17"/>
  <c r="E65" i="17"/>
  <c r="D66" i="17"/>
  <c r="E66" i="17"/>
  <c r="D67" i="17"/>
  <c r="E67" i="17"/>
  <c r="D68" i="17"/>
  <c r="E68" i="17"/>
  <c r="F68" i="17" s="1"/>
  <c r="D69" i="17"/>
  <c r="E69" i="17"/>
  <c r="D70" i="17"/>
  <c r="E70" i="17"/>
  <c r="D71" i="17"/>
  <c r="F71" i="17" s="1"/>
  <c r="E71" i="17"/>
  <c r="D72" i="17"/>
  <c r="E72" i="17"/>
  <c r="F72" i="17"/>
  <c r="D73" i="17"/>
  <c r="E73" i="17"/>
  <c r="D74" i="17"/>
  <c r="E74" i="17"/>
  <c r="D75" i="17"/>
  <c r="E75" i="17"/>
  <c r="D76" i="17"/>
  <c r="E76" i="17"/>
  <c r="F76" i="17" s="1"/>
  <c r="D77" i="17"/>
  <c r="E77" i="17"/>
  <c r="D78" i="17"/>
  <c r="E78" i="17"/>
  <c r="D79" i="17"/>
  <c r="E79" i="17"/>
  <c r="D80" i="17"/>
  <c r="F80" i="17" s="1"/>
  <c r="L80" i="7" s="1"/>
  <c r="M80" i="7" s="1"/>
  <c r="N80" i="7" s="1"/>
  <c r="E80" i="17"/>
  <c r="D81" i="17"/>
  <c r="E81" i="17"/>
  <c r="F81" i="17" s="1"/>
  <c r="D82" i="17"/>
  <c r="E82" i="17"/>
  <c r="D83" i="17"/>
  <c r="E83" i="17"/>
  <c r="D84" i="17"/>
  <c r="E84" i="17"/>
  <c r="D85" i="17"/>
  <c r="E85" i="17"/>
  <c r="D86" i="17"/>
  <c r="F86" i="17" s="1"/>
  <c r="E86" i="17"/>
  <c r="D87" i="17"/>
  <c r="E87" i="17"/>
  <c r="D88" i="17"/>
  <c r="F88" i="17" s="1"/>
  <c r="L88" i="7" s="1"/>
  <c r="M88" i="7" s="1"/>
  <c r="N88" i="7" s="1"/>
  <c r="E88" i="17"/>
  <c r="D89" i="17"/>
  <c r="E89" i="17"/>
  <c r="F89" i="17" s="1"/>
  <c r="D90" i="17"/>
  <c r="E90" i="17"/>
  <c r="D91" i="17"/>
  <c r="E91" i="17"/>
  <c r="D92" i="17"/>
  <c r="E92" i="17"/>
  <c r="D93" i="17"/>
  <c r="E93" i="17"/>
  <c r="D94" i="17"/>
  <c r="F94" i="17" s="1"/>
  <c r="E94" i="17"/>
  <c r="D95" i="17"/>
  <c r="E95" i="17"/>
  <c r="D96" i="17"/>
  <c r="E96" i="17"/>
  <c r="F96" i="17"/>
  <c r="D97" i="17"/>
  <c r="E97" i="17"/>
  <c r="D98" i="17"/>
  <c r="E98" i="17"/>
  <c r="D99" i="17"/>
  <c r="E99" i="17"/>
  <c r="D100" i="17"/>
  <c r="E100" i="17"/>
  <c r="F100" i="17" s="1"/>
  <c r="D101" i="17"/>
  <c r="E101" i="17"/>
  <c r="D102" i="17"/>
  <c r="E102" i="17"/>
  <c r="D103" i="17"/>
  <c r="F103" i="17" s="1"/>
  <c r="E103" i="17"/>
  <c r="D104" i="17"/>
  <c r="E104" i="17"/>
  <c r="F104" i="17"/>
  <c r="D105" i="17"/>
  <c r="E105" i="17"/>
  <c r="D106" i="17"/>
  <c r="E106" i="17"/>
  <c r="D107" i="17"/>
  <c r="E107" i="17"/>
  <c r="D108" i="17"/>
  <c r="E108" i="17"/>
  <c r="F108" i="17" s="1"/>
  <c r="D109" i="17"/>
  <c r="E109" i="17"/>
  <c r="D110" i="17"/>
  <c r="E110" i="17"/>
  <c r="D111" i="17"/>
  <c r="E111" i="17"/>
  <c r="D112" i="17"/>
  <c r="E112" i="17"/>
  <c r="F112" i="17" s="1"/>
  <c r="L112" i="7" s="1"/>
  <c r="M112" i="7" s="1"/>
  <c r="D113" i="17"/>
  <c r="E113" i="17"/>
  <c r="D114" i="17"/>
  <c r="E114" i="17"/>
  <c r="D115" i="17"/>
  <c r="E115" i="17"/>
  <c r="D116" i="17"/>
  <c r="F116" i="17" s="1"/>
  <c r="L116" i="7" s="1"/>
  <c r="M116" i="7" s="1"/>
  <c r="N116" i="7" s="1"/>
  <c r="E116" i="17"/>
  <c r="D117" i="17"/>
  <c r="E117" i="17"/>
  <c r="F117" i="17" s="1"/>
  <c r="D118" i="17"/>
  <c r="E118" i="17"/>
  <c r="D119" i="17"/>
  <c r="E119" i="17"/>
  <c r="D120" i="17"/>
  <c r="E120" i="17"/>
  <c r="D121" i="17"/>
  <c r="E121" i="17"/>
  <c r="D122" i="17"/>
  <c r="F122" i="17" s="1"/>
  <c r="E122" i="17"/>
  <c r="D123" i="17"/>
  <c r="E123" i="17"/>
  <c r="D124" i="17"/>
  <c r="F124" i="17" s="1"/>
  <c r="L124" i="7" s="1"/>
  <c r="M124" i="7" s="1"/>
  <c r="N124" i="7" s="1"/>
  <c r="E124" i="17"/>
  <c r="D125" i="17"/>
  <c r="E125" i="17"/>
  <c r="F125" i="17" s="1"/>
  <c r="D126" i="17"/>
  <c r="E126" i="17"/>
  <c r="D127" i="17"/>
  <c r="E127" i="17"/>
  <c r="D128" i="17"/>
  <c r="E128" i="17"/>
  <c r="D129" i="17"/>
  <c r="E129" i="17"/>
  <c r="D130" i="17"/>
  <c r="F130" i="17" s="1"/>
  <c r="E130" i="17"/>
  <c r="D131" i="17"/>
  <c r="E131" i="17"/>
  <c r="D132" i="17"/>
  <c r="E132" i="17"/>
  <c r="F132" i="17"/>
  <c r="D133" i="17"/>
  <c r="E133" i="17"/>
  <c r="D134" i="17"/>
  <c r="E134" i="17"/>
  <c r="D135" i="17"/>
  <c r="E135" i="17"/>
  <c r="D136" i="17"/>
  <c r="E136" i="17"/>
  <c r="F136" i="17" s="1"/>
  <c r="D137" i="17"/>
  <c r="E137" i="17"/>
  <c r="D138" i="17"/>
  <c r="E138" i="17"/>
  <c r="D139" i="17"/>
  <c r="F139" i="17" s="1"/>
  <c r="E139" i="17"/>
  <c r="D140" i="17"/>
  <c r="E140" i="17"/>
  <c r="F140" i="17"/>
  <c r="D141" i="17"/>
  <c r="E141" i="17"/>
  <c r="D142" i="17"/>
  <c r="E142" i="17"/>
  <c r="D143" i="17"/>
  <c r="E143" i="17"/>
  <c r="D144" i="17"/>
  <c r="E144" i="17"/>
  <c r="F144" i="17" s="1"/>
  <c r="D145" i="17"/>
  <c r="E145" i="17"/>
  <c r="D146" i="17"/>
  <c r="E146" i="17"/>
  <c r="D147" i="17"/>
  <c r="E147" i="17"/>
  <c r="D148" i="17"/>
  <c r="F148" i="17" s="1"/>
  <c r="L148" i="7" s="1"/>
  <c r="M148" i="7" s="1"/>
  <c r="N148" i="7" s="1"/>
  <c r="E148" i="17"/>
  <c r="D149" i="17"/>
  <c r="E149" i="17"/>
  <c r="F149" i="17" s="1"/>
  <c r="D150" i="17"/>
  <c r="E150" i="17"/>
  <c r="D151" i="17"/>
  <c r="E151" i="17"/>
  <c r="D152" i="17"/>
  <c r="E152" i="17"/>
  <c r="D153" i="17"/>
  <c r="E153" i="17"/>
  <c r="D154" i="17"/>
  <c r="F154" i="17" s="1"/>
  <c r="E154" i="17"/>
  <c r="D155" i="17"/>
  <c r="E155" i="17"/>
  <c r="D156" i="17"/>
  <c r="F156" i="17" s="1"/>
  <c r="L156" i="7" s="1"/>
  <c r="M156" i="7" s="1"/>
  <c r="N156" i="7" s="1"/>
  <c r="E156" i="17"/>
  <c r="D157" i="17"/>
  <c r="E157" i="17"/>
  <c r="F157" i="17" s="1"/>
  <c r="D158" i="17"/>
  <c r="E158" i="17"/>
  <c r="D159" i="17"/>
  <c r="E159" i="17"/>
  <c r="D160" i="17"/>
  <c r="E160" i="17"/>
  <c r="D161" i="17"/>
  <c r="E161" i="17"/>
  <c r="D162" i="17"/>
  <c r="F162" i="17" s="1"/>
  <c r="E162" i="17"/>
  <c r="D163" i="17"/>
  <c r="E163" i="17"/>
  <c r="D164" i="17"/>
  <c r="E164" i="17"/>
  <c r="F164" i="17"/>
  <c r="D165" i="17"/>
  <c r="E165" i="17"/>
  <c r="D166" i="17"/>
  <c r="E166" i="17"/>
  <c r="D167" i="17"/>
  <c r="E167" i="17"/>
  <c r="D168" i="17"/>
  <c r="E168" i="17"/>
  <c r="F168" i="17" s="1"/>
  <c r="D169" i="17"/>
  <c r="E169" i="17"/>
  <c r="D170" i="17"/>
  <c r="E170" i="17"/>
  <c r="D171" i="17"/>
  <c r="F171" i="17" s="1"/>
  <c r="E171" i="17"/>
  <c r="D172" i="17"/>
  <c r="E172" i="17"/>
  <c r="F172" i="17"/>
  <c r="D173" i="17"/>
  <c r="E173" i="17"/>
  <c r="D174" i="17"/>
  <c r="E174" i="17"/>
  <c r="D175" i="17"/>
  <c r="E175" i="17"/>
  <c r="D176" i="17"/>
  <c r="E176" i="17"/>
  <c r="F176" i="17" s="1"/>
  <c r="D177" i="17"/>
  <c r="E177" i="17"/>
  <c r="D178" i="17"/>
  <c r="E178" i="17"/>
  <c r="D179" i="17"/>
  <c r="E179" i="17"/>
  <c r="D180" i="17"/>
  <c r="F180" i="17" s="1"/>
  <c r="L180" i="7" s="1"/>
  <c r="M180" i="7" s="1"/>
  <c r="N180" i="7" s="1"/>
  <c r="E180" i="17"/>
  <c r="D181" i="17"/>
  <c r="E181" i="17"/>
  <c r="F181" i="17" s="1"/>
  <c r="D182" i="17"/>
  <c r="E182" i="17"/>
  <c r="D183" i="17"/>
  <c r="E183" i="17"/>
  <c r="D184" i="17"/>
  <c r="E184" i="17"/>
  <c r="D185" i="17"/>
  <c r="E185" i="17"/>
  <c r="D186" i="17"/>
  <c r="F186" i="17" s="1"/>
  <c r="E186" i="17"/>
  <c r="D187" i="17"/>
  <c r="E187" i="17"/>
  <c r="D188" i="17"/>
  <c r="F188" i="17" s="1"/>
  <c r="L188" i="7" s="1"/>
  <c r="M188" i="7" s="1"/>
  <c r="N188" i="7" s="1"/>
  <c r="E188" i="17"/>
  <c r="D189" i="17"/>
  <c r="E189" i="17"/>
  <c r="F189" i="17" s="1"/>
  <c r="D190" i="17"/>
  <c r="E190" i="17"/>
  <c r="D191" i="17"/>
  <c r="E191" i="17"/>
  <c r="D192" i="17"/>
  <c r="E192" i="17"/>
  <c r="D193" i="17"/>
  <c r="E193" i="17"/>
  <c r="D194" i="17"/>
  <c r="F194" i="17" s="1"/>
  <c r="E194" i="17"/>
  <c r="D195" i="17"/>
  <c r="E195" i="17"/>
  <c r="B59" i="16"/>
  <c r="C59" i="16"/>
  <c r="D59" i="16"/>
  <c r="J5" i="15"/>
  <c r="J6" i="15"/>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90" i="15"/>
  <c r="J91" i="15"/>
  <c r="J92" i="15"/>
  <c r="J93" i="15"/>
  <c r="J94" i="15"/>
  <c r="J95" i="15"/>
  <c r="J96" i="15"/>
  <c r="J97" i="15"/>
  <c r="J98" i="15"/>
  <c r="J99" i="15"/>
  <c r="J100" i="15"/>
  <c r="J101" i="15"/>
  <c r="J102" i="15"/>
  <c r="J103" i="15"/>
  <c r="J104" i="15"/>
  <c r="J105" i="15"/>
  <c r="J106" i="15"/>
  <c r="J107" i="15"/>
  <c r="J108" i="15"/>
  <c r="J109" i="15"/>
  <c r="J110" i="15"/>
  <c r="J111" i="15"/>
  <c r="J112" i="15"/>
  <c r="J113" i="15"/>
  <c r="J114" i="15"/>
  <c r="J115" i="15"/>
  <c r="J116" i="15"/>
  <c r="J117" i="15"/>
  <c r="J118" i="15"/>
  <c r="J119" i="15"/>
  <c r="J120" i="15"/>
  <c r="J121" i="15"/>
  <c r="J122" i="15"/>
  <c r="J123" i="15"/>
  <c r="J124" i="15"/>
  <c r="J125" i="15"/>
  <c r="J126" i="15"/>
  <c r="J127" i="15"/>
  <c r="J128" i="15"/>
  <c r="B18" i="14"/>
  <c r="C18" i="14"/>
  <c r="D18" i="14"/>
  <c r="B50" i="12"/>
  <c r="C50" i="12"/>
  <c r="D50" i="12"/>
  <c r="E50" i="12"/>
  <c r="D62" i="10"/>
  <c r="B61" i="10"/>
  <c r="C61" i="10"/>
  <c r="D61" i="10"/>
  <c r="E61" i="10"/>
  <c r="B62" i="10"/>
  <c r="C62" i="10"/>
  <c r="B42" i="9"/>
  <c r="C42" i="9"/>
  <c r="D42" i="9"/>
  <c r="E42" i="9"/>
  <c r="L4" i="7"/>
  <c r="M4" i="7" s="1"/>
  <c r="N4" i="7" s="1"/>
  <c r="L6" i="7"/>
  <c r="M6" i="7" s="1"/>
  <c r="N6" i="7" s="1"/>
  <c r="M7" i="7"/>
  <c r="N7" i="7" s="1"/>
  <c r="M8" i="7"/>
  <c r="N8" i="7" s="1"/>
  <c r="M12" i="7"/>
  <c r="N12" i="7" s="1"/>
  <c r="M13" i="7"/>
  <c r="N13" i="7" s="1"/>
  <c r="M19" i="7"/>
  <c r="N19" i="7" s="1"/>
  <c r="L22" i="7"/>
  <c r="M22" i="7" s="1"/>
  <c r="N22" i="7" s="1"/>
  <c r="M25" i="7"/>
  <c r="N25" i="7" s="1"/>
  <c r="L30" i="7"/>
  <c r="L32" i="7"/>
  <c r="M32" i="7" s="1"/>
  <c r="N32" i="7" s="1"/>
  <c r="L36" i="7"/>
  <c r="M36" i="7" s="1"/>
  <c r="N36" i="7" s="1"/>
  <c r="M39" i="7"/>
  <c r="N39" i="7" s="1"/>
  <c r="L40" i="7"/>
  <c r="M40" i="7" s="1"/>
  <c r="N40" i="7" s="1"/>
  <c r="L44" i="7"/>
  <c r="M44" i="7" s="1"/>
  <c r="N44" i="7" s="1"/>
  <c r="L49" i="7"/>
  <c r="L54" i="7"/>
  <c r="M54" i="7" s="1"/>
  <c r="N54" i="7" s="1"/>
  <c r="L57" i="7"/>
  <c r="M57" i="7" s="1"/>
  <c r="N57" i="7" s="1"/>
  <c r="B59" i="7"/>
  <c r="E59" i="7"/>
  <c r="F59" i="7"/>
  <c r="L62" i="7"/>
  <c r="M62" i="7" s="1"/>
  <c r="N62" i="7" s="1"/>
  <c r="L64" i="7"/>
  <c r="M64" i="7" s="1"/>
  <c r="N64" i="7" s="1"/>
  <c r="L68" i="7"/>
  <c r="M68" i="7" s="1"/>
  <c r="N68" i="7" s="1"/>
  <c r="L71" i="7"/>
  <c r="M71" i="7"/>
  <c r="N71" i="7" s="1"/>
  <c r="L72" i="7"/>
  <c r="M72" i="7" s="1"/>
  <c r="N72" i="7" s="1"/>
  <c r="L76" i="7"/>
  <c r="M76" i="7" s="1"/>
  <c r="N76" i="7" s="1"/>
  <c r="L81" i="7"/>
  <c r="M81" i="7" s="1"/>
  <c r="N81" i="7" s="1"/>
  <c r="L86" i="7"/>
  <c r="M86" i="7" s="1"/>
  <c r="N86" i="7" s="1"/>
  <c r="L89" i="7"/>
  <c r="M89" i="7" s="1"/>
  <c r="N89" i="7" s="1"/>
  <c r="L94" i="7"/>
  <c r="M94" i="7" s="1"/>
  <c r="N94" i="7" s="1"/>
  <c r="L96" i="7"/>
  <c r="M96" i="7" s="1"/>
  <c r="N96" i="7" s="1"/>
  <c r="L100" i="7"/>
  <c r="M100" i="7" s="1"/>
  <c r="N100" i="7" s="1"/>
  <c r="L103" i="7"/>
  <c r="M103" i="7" s="1"/>
  <c r="N103" i="7" s="1"/>
  <c r="L104" i="7"/>
  <c r="M104" i="7" s="1"/>
  <c r="N104" i="7" s="1"/>
  <c r="L108" i="7"/>
  <c r="M108" i="7" s="1"/>
  <c r="N108" i="7" s="1"/>
  <c r="N112" i="7"/>
  <c r="L117" i="7"/>
  <c r="M117" i="7" s="1"/>
  <c r="N117" i="7" s="1"/>
  <c r="L122" i="7"/>
  <c r="M122" i="7" s="1"/>
  <c r="N122" i="7" s="1"/>
  <c r="L125" i="7"/>
  <c r="M125" i="7" s="1"/>
  <c r="N125" i="7" s="1"/>
  <c r="L130" i="7"/>
  <c r="M130" i="7" s="1"/>
  <c r="N130" i="7" s="1"/>
  <c r="L132" i="7"/>
  <c r="M132" i="7" s="1"/>
  <c r="N132" i="7" s="1"/>
  <c r="L136" i="7"/>
  <c r="M136" i="7" s="1"/>
  <c r="N136" i="7" s="1"/>
  <c r="L139" i="7"/>
  <c r="M139" i="7"/>
  <c r="N139" i="7" s="1"/>
  <c r="L140" i="7"/>
  <c r="M140" i="7" s="1"/>
  <c r="N140" i="7" s="1"/>
  <c r="L144" i="7"/>
  <c r="M144" i="7" s="1"/>
  <c r="N144" i="7" s="1"/>
  <c r="L149" i="7"/>
  <c r="M149" i="7" s="1"/>
  <c r="N149" i="7" s="1"/>
  <c r="L154" i="7"/>
  <c r="M154" i="7"/>
  <c r="N154" i="7" s="1"/>
  <c r="L157" i="7"/>
  <c r="M157" i="7" s="1"/>
  <c r="N157" i="7" s="1"/>
  <c r="L162" i="7"/>
  <c r="M162" i="7" s="1"/>
  <c r="N162" i="7" s="1"/>
  <c r="L164" i="7"/>
  <c r="M164" i="7" s="1"/>
  <c r="N164" i="7" s="1"/>
  <c r="L168" i="7"/>
  <c r="M168" i="7" s="1"/>
  <c r="N168" i="7" s="1"/>
  <c r="L171" i="7"/>
  <c r="M171" i="7" s="1"/>
  <c r="N171" i="7" s="1"/>
  <c r="L172" i="7"/>
  <c r="M172" i="7" s="1"/>
  <c r="N172" i="7" s="1"/>
  <c r="L176" i="7"/>
  <c r="M176" i="7" s="1"/>
  <c r="N176" i="7" s="1"/>
  <c r="L181" i="7"/>
  <c r="M181" i="7"/>
  <c r="N181" i="7" s="1"/>
  <c r="L186" i="7"/>
  <c r="M186" i="7" s="1"/>
  <c r="N186" i="7" s="1"/>
  <c r="L189" i="7"/>
  <c r="M189" i="7"/>
  <c r="N189" i="7" s="1"/>
  <c r="L194" i="7"/>
  <c r="M194" i="7" s="1"/>
  <c r="N194" i="7" s="1"/>
  <c r="B16" i="6"/>
  <c r="C16" i="6"/>
  <c r="D16" i="6"/>
  <c r="B42" i="5"/>
  <c r="C42" i="5"/>
  <c r="D42" i="5"/>
  <c r="B59" i="4"/>
  <c r="C59" i="4"/>
  <c r="D59" i="4"/>
  <c r="B60" i="4"/>
  <c r="B61" i="4" s="1"/>
  <c r="C60" i="4"/>
  <c r="D60" i="4"/>
  <c r="C61" i="4" l="1"/>
  <c r="F192" i="17"/>
  <c r="L192" i="7" s="1"/>
  <c r="M192" i="7" s="1"/>
  <c r="N192" i="7" s="1"/>
  <c r="F187" i="17"/>
  <c r="L187" i="7" s="1"/>
  <c r="M187" i="7" s="1"/>
  <c r="N187" i="7" s="1"/>
  <c r="F173" i="17"/>
  <c r="L173" i="7" s="1"/>
  <c r="M173" i="7" s="1"/>
  <c r="N173" i="7" s="1"/>
  <c r="F170" i="17"/>
  <c r="L170" i="7" s="1"/>
  <c r="M170" i="7" s="1"/>
  <c r="N170" i="7" s="1"/>
  <c r="F160" i="17"/>
  <c r="L160" i="7" s="1"/>
  <c r="M160" i="7" s="1"/>
  <c r="N160" i="7" s="1"/>
  <c r="F155" i="17"/>
  <c r="L155" i="7" s="1"/>
  <c r="M155" i="7" s="1"/>
  <c r="N155" i="7" s="1"/>
  <c r="F141" i="17"/>
  <c r="L141" i="7" s="1"/>
  <c r="M141" i="7" s="1"/>
  <c r="N141" i="7" s="1"/>
  <c r="F138" i="17"/>
  <c r="L138" i="7" s="1"/>
  <c r="M138" i="7" s="1"/>
  <c r="N138" i="7" s="1"/>
  <c r="F128" i="17"/>
  <c r="L128" i="7" s="1"/>
  <c r="M128" i="7" s="1"/>
  <c r="N128" i="7" s="1"/>
  <c r="F123" i="17"/>
  <c r="L123" i="7" s="1"/>
  <c r="M123" i="7" s="1"/>
  <c r="N123" i="7" s="1"/>
  <c r="F105" i="17"/>
  <c r="L105" i="7" s="1"/>
  <c r="M105" i="7" s="1"/>
  <c r="N105" i="7" s="1"/>
  <c r="F102" i="17"/>
  <c r="L102" i="7" s="1"/>
  <c r="M102" i="7" s="1"/>
  <c r="N102" i="7" s="1"/>
  <c r="F92" i="17"/>
  <c r="L92" i="7" s="1"/>
  <c r="M92" i="7" s="1"/>
  <c r="N92" i="7" s="1"/>
  <c r="F87" i="17"/>
  <c r="L87" i="7" s="1"/>
  <c r="M87" i="7" s="1"/>
  <c r="N87" i="7" s="1"/>
  <c r="F73" i="17"/>
  <c r="L73" i="7" s="1"/>
  <c r="M73" i="7" s="1"/>
  <c r="N73" i="7" s="1"/>
  <c r="F70" i="17"/>
  <c r="L70" i="7" s="1"/>
  <c r="M70" i="7" s="1"/>
  <c r="N70" i="7" s="1"/>
  <c r="F60" i="17"/>
  <c r="L60" i="7" s="1"/>
  <c r="M60" i="7" s="1"/>
  <c r="N60" i="7" s="1"/>
  <c r="F55" i="17"/>
  <c r="L55" i="7" s="1"/>
  <c r="M55" i="7" s="1"/>
  <c r="N55" i="7" s="1"/>
  <c r="F41" i="17"/>
  <c r="L41" i="7" s="1"/>
  <c r="M41" i="7" s="1"/>
  <c r="N41" i="7" s="1"/>
  <c r="F38" i="17"/>
  <c r="L38" i="7" s="1"/>
  <c r="M38" i="7" s="1"/>
  <c r="N38" i="7" s="1"/>
  <c r="F28" i="17"/>
  <c r="L28" i="7" s="1"/>
  <c r="M28" i="7" s="1"/>
  <c r="N28" i="7" s="1"/>
  <c r="F11" i="17"/>
  <c r="L11" i="7" s="1"/>
  <c r="M11" i="7" s="1"/>
  <c r="N11" i="7" s="1"/>
  <c r="N25" i="19"/>
  <c r="D9" i="20"/>
  <c r="F184" i="17"/>
  <c r="L184" i="7" s="1"/>
  <c r="M184" i="7" s="1"/>
  <c r="N184" i="7" s="1"/>
  <c r="F165" i="17"/>
  <c r="L165" i="7" s="1"/>
  <c r="M165" i="7" s="1"/>
  <c r="N165" i="7" s="1"/>
  <c r="F152" i="17"/>
  <c r="L152" i="7" s="1"/>
  <c r="M152" i="7" s="1"/>
  <c r="N152" i="7" s="1"/>
  <c r="F133" i="17"/>
  <c r="L133" i="7" s="1"/>
  <c r="M133" i="7" s="1"/>
  <c r="N133" i="7" s="1"/>
  <c r="F120" i="17"/>
  <c r="L120" i="7" s="1"/>
  <c r="M120" i="7" s="1"/>
  <c r="N120" i="7" s="1"/>
  <c r="F97" i="17"/>
  <c r="L97" i="7" s="1"/>
  <c r="M97" i="7" s="1"/>
  <c r="N97" i="7" s="1"/>
  <c r="F84" i="17"/>
  <c r="L84" i="7" s="1"/>
  <c r="M84" i="7" s="1"/>
  <c r="N84" i="7" s="1"/>
  <c r="F65" i="17"/>
  <c r="L65" i="7" s="1"/>
  <c r="M65" i="7" s="1"/>
  <c r="N65" i="7" s="1"/>
  <c r="F52" i="17"/>
  <c r="L52" i="7" s="1"/>
  <c r="F33" i="17"/>
  <c r="L33" i="7" s="1"/>
  <c r="M33" i="7" s="1"/>
  <c r="N33" i="7" s="1"/>
  <c r="F20" i="17"/>
  <c r="L20" i="7" s="1"/>
  <c r="M20" i="7" s="1"/>
  <c r="N20" i="7" s="1"/>
  <c r="F5" i="17"/>
  <c r="L5" i="7" s="1"/>
  <c r="M5" i="7" s="1"/>
  <c r="N5" i="7" s="1"/>
  <c r="F178" i="17"/>
  <c r="L178" i="7" s="1"/>
  <c r="M178" i="7" s="1"/>
  <c r="N178" i="7" s="1"/>
  <c r="F146" i="17"/>
  <c r="L146" i="7" s="1"/>
  <c r="M146" i="7" s="1"/>
  <c r="N146" i="7" s="1"/>
  <c r="F114" i="17"/>
  <c r="L114" i="7" s="1"/>
  <c r="M114" i="7" s="1"/>
  <c r="N114" i="7" s="1"/>
  <c r="F78" i="17"/>
  <c r="L78" i="7" s="1"/>
  <c r="M78" i="7" s="1"/>
  <c r="N78" i="7" s="1"/>
  <c r="F46" i="17"/>
  <c r="L46" i="7" s="1"/>
  <c r="M46" i="7" s="1"/>
  <c r="N46" i="7" s="1"/>
  <c r="F14" i="17"/>
  <c r="L14" i="7" s="1"/>
  <c r="M14" i="7" s="1"/>
  <c r="N14" i="7" s="1"/>
  <c r="M48" i="7"/>
  <c r="N48" i="7" s="1"/>
  <c r="F193" i="17"/>
  <c r="L193" i="7" s="1"/>
  <c r="M193" i="7" s="1"/>
  <c r="N193" i="7" s="1"/>
  <c r="F190" i="17"/>
  <c r="L190" i="7" s="1"/>
  <c r="M190" i="7" s="1"/>
  <c r="N190" i="7" s="1"/>
  <c r="F185" i="17"/>
  <c r="L185" i="7" s="1"/>
  <c r="M185" i="7" s="1"/>
  <c r="N185" i="7" s="1"/>
  <c r="F183" i="17"/>
  <c r="L183" i="7" s="1"/>
  <c r="M183" i="7" s="1"/>
  <c r="N183" i="7" s="1"/>
  <c r="F182" i="17"/>
  <c r="L182" i="7" s="1"/>
  <c r="M182" i="7" s="1"/>
  <c r="N182" i="7" s="1"/>
  <c r="F177" i="17"/>
  <c r="L177" i="7" s="1"/>
  <c r="M177" i="7" s="1"/>
  <c r="N177" i="7" s="1"/>
  <c r="F174" i="17"/>
  <c r="L174" i="7" s="1"/>
  <c r="M174" i="7" s="1"/>
  <c r="N174" i="7" s="1"/>
  <c r="F169" i="17"/>
  <c r="L169" i="7" s="1"/>
  <c r="M169" i="7" s="1"/>
  <c r="N169" i="7" s="1"/>
  <c r="F167" i="17"/>
  <c r="L167" i="7" s="1"/>
  <c r="M167" i="7" s="1"/>
  <c r="N167" i="7" s="1"/>
  <c r="F166" i="17"/>
  <c r="L166" i="7" s="1"/>
  <c r="M166" i="7" s="1"/>
  <c r="N166" i="7" s="1"/>
  <c r="F161" i="17"/>
  <c r="L161" i="7" s="1"/>
  <c r="M161" i="7" s="1"/>
  <c r="N161" i="7" s="1"/>
  <c r="F158" i="17"/>
  <c r="L158" i="7" s="1"/>
  <c r="M158" i="7" s="1"/>
  <c r="N158" i="7" s="1"/>
  <c r="F153" i="17"/>
  <c r="L153" i="7" s="1"/>
  <c r="M153" i="7" s="1"/>
  <c r="N153" i="7" s="1"/>
  <c r="F151" i="17"/>
  <c r="L151" i="7" s="1"/>
  <c r="M151" i="7" s="1"/>
  <c r="N151" i="7" s="1"/>
  <c r="F150" i="17"/>
  <c r="L150" i="7" s="1"/>
  <c r="M150" i="7" s="1"/>
  <c r="N150" i="7" s="1"/>
  <c r="F145" i="17"/>
  <c r="L145" i="7" s="1"/>
  <c r="M145" i="7" s="1"/>
  <c r="N145" i="7" s="1"/>
  <c r="F142" i="17"/>
  <c r="L142" i="7" s="1"/>
  <c r="M142" i="7" s="1"/>
  <c r="N142" i="7" s="1"/>
  <c r="F137" i="17"/>
  <c r="L137" i="7" s="1"/>
  <c r="M137" i="7" s="1"/>
  <c r="N137" i="7" s="1"/>
  <c r="F135" i="17"/>
  <c r="L135" i="7" s="1"/>
  <c r="M135" i="7" s="1"/>
  <c r="N135" i="7" s="1"/>
  <c r="F134" i="17"/>
  <c r="L134" i="7" s="1"/>
  <c r="M134" i="7" s="1"/>
  <c r="N134" i="7" s="1"/>
  <c r="F129" i="17"/>
  <c r="L129" i="7" s="1"/>
  <c r="M129" i="7" s="1"/>
  <c r="N129" i="7" s="1"/>
  <c r="F126" i="17"/>
  <c r="L126" i="7" s="1"/>
  <c r="M126" i="7" s="1"/>
  <c r="N126" i="7" s="1"/>
  <c r="F121" i="17"/>
  <c r="L121" i="7" s="1"/>
  <c r="M121" i="7" s="1"/>
  <c r="N121" i="7" s="1"/>
  <c r="F119" i="17"/>
  <c r="L119" i="7" s="1"/>
  <c r="M119" i="7" s="1"/>
  <c r="N119" i="7" s="1"/>
  <c r="F118" i="17"/>
  <c r="L118" i="7" s="1"/>
  <c r="M118" i="7" s="1"/>
  <c r="N118" i="7" s="1"/>
  <c r="F113" i="17"/>
  <c r="L113" i="7" s="1"/>
  <c r="M113" i="7" s="1"/>
  <c r="N113" i="7" s="1"/>
  <c r="F110" i="17"/>
  <c r="L110" i="7" s="1"/>
  <c r="M110" i="7" s="1"/>
  <c r="N110" i="7" s="1"/>
  <c r="F109" i="17"/>
  <c r="L109" i="7" s="1"/>
  <c r="M109" i="7" s="1"/>
  <c r="N109" i="7" s="1"/>
  <c r="F107" i="17"/>
  <c r="L107" i="7" s="1"/>
  <c r="M107" i="7" s="1"/>
  <c r="N107" i="7" s="1"/>
  <c r="F106" i="17"/>
  <c r="L106" i="7" s="1"/>
  <c r="M106" i="7" s="1"/>
  <c r="N106" i="7" s="1"/>
  <c r="F101" i="17"/>
  <c r="L101" i="7" s="1"/>
  <c r="M101" i="7" s="1"/>
  <c r="N101" i="7" s="1"/>
  <c r="F98" i="17"/>
  <c r="L98" i="7" s="1"/>
  <c r="M98" i="7" s="1"/>
  <c r="N98" i="7" s="1"/>
  <c r="F93" i="17"/>
  <c r="L93" i="7" s="1"/>
  <c r="M93" i="7" s="1"/>
  <c r="N93" i="7" s="1"/>
  <c r="F91" i="17"/>
  <c r="L91" i="7" s="1"/>
  <c r="M91" i="7" s="1"/>
  <c r="N91" i="7" s="1"/>
  <c r="F90" i="17"/>
  <c r="L90" i="7" s="1"/>
  <c r="M90" i="7" s="1"/>
  <c r="N90" i="7" s="1"/>
  <c r="F85" i="17"/>
  <c r="L85" i="7" s="1"/>
  <c r="M85" i="7" s="1"/>
  <c r="N85" i="7" s="1"/>
  <c r="F82" i="17"/>
  <c r="L82" i="7" s="1"/>
  <c r="M82" i="7" s="1"/>
  <c r="N82" i="7" s="1"/>
  <c r="F77" i="17"/>
  <c r="L77" i="7" s="1"/>
  <c r="M77" i="7" s="1"/>
  <c r="N77" i="7" s="1"/>
  <c r="F75" i="17"/>
  <c r="L75" i="7" s="1"/>
  <c r="M75" i="7" s="1"/>
  <c r="N75" i="7" s="1"/>
  <c r="F74" i="17"/>
  <c r="L74" i="7" s="1"/>
  <c r="M74" i="7" s="1"/>
  <c r="N74" i="7" s="1"/>
  <c r="F69" i="17"/>
  <c r="L69" i="7" s="1"/>
  <c r="M69" i="7" s="1"/>
  <c r="N69" i="7" s="1"/>
  <c r="F66" i="17"/>
  <c r="M66" i="7" s="1"/>
  <c r="N66" i="7" s="1"/>
  <c r="F61" i="17"/>
  <c r="L61" i="7" s="1"/>
  <c r="M61" i="7" s="1"/>
  <c r="N61" i="7" s="1"/>
  <c r="F59" i="17"/>
  <c r="L59" i="7" s="1"/>
  <c r="F58" i="17"/>
  <c r="L58" i="7" s="1"/>
  <c r="M58" i="7" s="1"/>
  <c r="N58" i="7" s="1"/>
  <c r="F53" i="17"/>
  <c r="M53" i="7" s="1"/>
  <c r="N53" i="7" s="1"/>
  <c r="F50" i="17"/>
  <c r="L50" i="7" s="1"/>
  <c r="M50" i="7" s="1"/>
  <c r="N50" i="7" s="1"/>
  <c r="F45" i="17"/>
  <c r="L45" i="7" s="1"/>
  <c r="M45" i="7" s="1"/>
  <c r="N45" i="7" s="1"/>
  <c r="F43" i="17"/>
  <c r="L43" i="7" s="1"/>
  <c r="M43" i="7" s="1"/>
  <c r="N43" i="7" s="1"/>
  <c r="F42" i="17"/>
  <c r="L42" i="7" s="1"/>
  <c r="M42" i="7" s="1"/>
  <c r="N42" i="7" s="1"/>
  <c r="F37" i="17"/>
  <c r="L37" i="7" s="1"/>
  <c r="M37" i="7" s="1"/>
  <c r="N37" i="7" s="1"/>
  <c r="F34" i="17"/>
  <c r="L34" i="7" s="1"/>
  <c r="M34" i="7" s="1"/>
  <c r="N34" i="7" s="1"/>
  <c r="F29" i="17"/>
  <c r="L29" i="7" s="1"/>
  <c r="M29" i="7" s="1"/>
  <c r="N29" i="7" s="1"/>
  <c r="F27" i="17"/>
  <c r="L27" i="7" s="1"/>
  <c r="M27" i="7" s="1"/>
  <c r="N27" i="7" s="1"/>
  <c r="F26" i="17"/>
  <c r="L26" i="7" s="1"/>
  <c r="M26" i="7" s="1"/>
  <c r="N26" i="7" s="1"/>
  <c r="F23" i="17"/>
  <c r="L23" i="7" s="1"/>
  <c r="F21" i="17"/>
  <c r="L21" i="7" s="1"/>
  <c r="M21" i="7" s="1"/>
  <c r="N21" i="7" s="1"/>
  <c r="F18" i="17"/>
  <c r="L18" i="7" s="1"/>
  <c r="M18" i="7" s="1"/>
  <c r="N18" i="7" s="1"/>
  <c r="F17" i="17"/>
  <c r="L17" i="7" s="1"/>
  <c r="M17" i="7" s="1"/>
  <c r="N17" i="7" s="1"/>
  <c r="F15" i="17"/>
  <c r="L15" i="7" s="1"/>
  <c r="M15" i="7" s="1"/>
  <c r="N15" i="7" s="1"/>
  <c r="F10" i="17"/>
  <c r="L10" i="7" s="1"/>
  <c r="M10" i="7" s="1"/>
  <c r="N10" i="7" s="1"/>
  <c r="F9" i="17"/>
  <c r="L9" i="7" s="1"/>
  <c r="M9" i="7" s="1"/>
  <c r="N9" i="7" s="1"/>
  <c r="E9" i="20"/>
  <c r="AF122" i="36"/>
  <c r="AF118" i="36"/>
  <c r="AF99" i="36"/>
  <c r="M9" i="32"/>
  <c r="AF137" i="36"/>
  <c r="AF42" i="36"/>
  <c r="AF46" i="36"/>
  <c r="AF149" i="36"/>
  <c r="AF158" i="36"/>
  <c r="AF148" i="36"/>
  <c r="AF186" i="36"/>
  <c r="AF150" i="36"/>
  <c r="AF185" i="36"/>
  <c r="AF183" i="36"/>
  <c r="AF181" i="36"/>
  <c r="AF178" i="36"/>
  <c r="AF176" i="36"/>
  <c r="AF195" i="36"/>
  <c r="AF129" i="36"/>
  <c r="AF152" i="36"/>
  <c r="AF151" i="36"/>
  <c r="AF200" i="36"/>
  <c r="AF142" i="36"/>
  <c r="AF130" i="36"/>
  <c r="AF54" i="36"/>
  <c r="AF146" i="36"/>
  <c r="AF143" i="36"/>
  <c r="AF121" i="36"/>
  <c r="AF115" i="36"/>
  <c r="AF104" i="36"/>
  <c r="AF196" i="36"/>
  <c r="AF175" i="36"/>
  <c r="AF166" i="36"/>
  <c r="AF162" i="36"/>
  <c r="AF124" i="36"/>
  <c r="AF108" i="36"/>
  <c r="AF100" i="36"/>
  <c r="AF98" i="36"/>
  <c r="AF29" i="36"/>
  <c r="AF27" i="36"/>
  <c r="AF25" i="36"/>
  <c r="AF16" i="36"/>
  <c r="AF12" i="36"/>
  <c r="AF156" i="36"/>
  <c r="AF135" i="36"/>
  <c r="AF128" i="36"/>
  <c r="AF41" i="36"/>
  <c r="AF61" i="36"/>
  <c r="AF167" i="36"/>
  <c r="AF125" i="36"/>
  <c r="AF116" i="36"/>
  <c r="AF59" i="36"/>
  <c r="AF187" i="36"/>
  <c r="AF153" i="36"/>
  <c r="AF111" i="36"/>
  <c r="AF101" i="36"/>
  <c r="AF194" i="36"/>
  <c r="AF179" i="36"/>
  <c r="AF168" i="36"/>
  <c r="AF160" i="36"/>
  <c r="AF144" i="36"/>
  <c r="AF139" i="36"/>
  <c r="AF132" i="36"/>
  <c r="AF126" i="36"/>
  <c r="AF119" i="36"/>
  <c r="AF114" i="36"/>
  <c r="AF110" i="36"/>
  <c r="AF44" i="36"/>
  <c r="AF43" i="36"/>
  <c r="AF14" i="36"/>
  <c r="AF7" i="36"/>
  <c r="AF5" i="36"/>
  <c r="AF19" i="36"/>
  <c r="AF199" i="36"/>
  <c r="AF145" i="36"/>
  <c r="AF127" i="36"/>
  <c r="AF112" i="36"/>
  <c r="AF48" i="36"/>
  <c r="AF198" i="36"/>
  <c r="AF197" i="36"/>
  <c r="AF193" i="36"/>
  <c r="AF174" i="36"/>
  <c r="AF172" i="36"/>
  <c r="AF164" i="36"/>
  <c r="AF159" i="36"/>
  <c r="AF157" i="36"/>
  <c r="AF140" i="36"/>
  <c r="AF138" i="36"/>
  <c r="AF136" i="36"/>
  <c r="AF133" i="36"/>
  <c r="AF131" i="36"/>
  <c r="AF107" i="36"/>
  <c r="AF105" i="36"/>
  <c r="AF58" i="36"/>
  <c r="AF45" i="36"/>
  <c r="AF97" i="36"/>
  <c r="AF47" i="36"/>
  <c r="AF191" i="36"/>
  <c r="AF189" i="36"/>
  <c r="AF182" i="36"/>
  <c r="AF155" i="36"/>
  <c r="AF147" i="36"/>
  <c r="AF123" i="36"/>
  <c r="AF120" i="36"/>
  <c r="AF109" i="36"/>
  <c r="AF103" i="36"/>
  <c r="AF79" i="36"/>
  <c r="AF77" i="36"/>
  <c r="AF71" i="36"/>
  <c r="AF50" i="36"/>
  <c r="AF30" i="36"/>
  <c r="AF9" i="36"/>
  <c r="AF8" i="36"/>
  <c r="AF73" i="36"/>
  <c r="AF32" i="36"/>
  <c r="AF24" i="36"/>
  <c r="AF184" i="36"/>
  <c r="AF177" i="36"/>
  <c r="AF171" i="36"/>
  <c r="AF169" i="36"/>
  <c r="AF96" i="36"/>
  <c r="AF39" i="36"/>
  <c r="AF22" i="36"/>
  <c r="AF180" i="36"/>
  <c r="AF173" i="36"/>
  <c r="AF170" i="36"/>
  <c r="AF76" i="36"/>
  <c r="AF57" i="36"/>
  <c r="AF55" i="36"/>
  <c r="AF53" i="36"/>
  <c r="AF36" i="36"/>
  <c r="AF10" i="36"/>
  <c r="E62" i="10"/>
  <c r="D61" i="4"/>
  <c r="AF192" i="36"/>
  <c r="AF190" i="36"/>
  <c r="AF188" i="36"/>
  <c r="AF165" i="36"/>
  <c r="AF141" i="36"/>
  <c r="AF134" i="36"/>
  <c r="AF117" i="36"/>
  <c r="AF106" i="36"/>
  <c r="AF163" i="36"/>
  <c r="AF161" i="36"/>
  <c r="AF154" i="36"/>
  <c r="AF102" i="36"/>
  <c r="AF94" i="36"/>
  <c r="AF91" i="36"/>
  <c r="AF74" i="36"/>
  <c r="AF33" i="36"/>
  <c r="AF31" i="36"/>
  <c r="AF17" i="36"/>
  <c r="AF92" i="36"/>
  <c r="AF89" i="36"/>
  <c r="AF87" i="36"/>
  <c r="AF86" i="36"/>
  <c r="AF85" i="36"/>
  <c r="AF75" i="36"/>
  <c r="AF72" i="36"/>
  <c r="AF67" i="36"/>
  <c r="AF65" i="36"/>
  <c r="AF37" i="36"/>
  <c r="AF35" i="36"/>
  <c r="AF34" i="36"/>
  <c r="AF28" i="36"/>
  <c r="AF26" i="36"/>
  <c r="AF23" i="36"/>
  <c r="AF21" i="36"/>
  <c r="AF20" i="36"/>
  <c r="AF18" i="36"/>
  <c r="AF90" i="36"/>
  <c r="AF88" i="36"/>
  <c r="AF83" i="36"/>
  <c r="AF82" i="36"/>
  <c r="AF81" i="36"/>
  <c r="AF80" i="36"/>
  <c r="AF78" i="36"/>
  <c r="AF70" i="36"/>
  <c r="AF68" i="36"/>
  <c r="AF66" i="36"/>
  <c r="AF63" i="36"/>
  <c r="AF51" i="36"/>
  <c r="AF49" i="36"/>
  <c r="AF38" i="36"/>
  <c r="AF6" i="36"/>
  <c r="AF95" i="36"/>
  <c r="AF93" i="36"/>
  <c r="AF84" i="36"/>
  <c r="AF69" i="36"/>
  <c r="AF64" i="36"/>
  <c r="AF62" i="36"/>
  <c r="AF60" i="36"/>
  <c r="AF56" i="36"/>
  <c r="AF52" i="36"/>
  <c r="AF40" i="36"/>
  <c r="AF15" i="36"/>
  <c r="AF13" i="36"/>
  <c r="AF11" i="36"/>
  <c r="K9" i="20"/>
  <c r="J9" i="20"/>
  <c r="J10" i="20" s="1"/>
  <c r="C9" i="20"/>
  <c r="I9" i="20"/>
  <c r="C17" i="7"/>
  <c r="C16" i="7"/>
  <c r="M59" i="7"/>
  <c r="N59" i="7" s="1"/>
  <c r="C13" i="7"/>
  <c r="M49" i="7"/>
  <c r="N49" i="7" s="1"/>
  <c r="C7" i="7"/>
  <c r="M30" i="7"/>
  <c r="N30" i="7" s="1"/>
  <c r="C6" i="7"/>
  <c r="C11" i="7"/>
  <c r="C9" i="7"/>
  <c r="F195" i="17"/>
  <c r="L195" i="7" s="1"/>
  <c r="M195" i="7" s="1"/>
  <c r="N195" i="7" s="1"/>
  <c r="F179" i="17"/>
  <c r="L179" i="7" s="1"/>
  <c r="M179" i="7" s="1"/>
  <c r="N179" i="7" s="1"/>
  <c r="F163" i="17"/>
  <c r="L163" i="7" s="1"/>
  <c r="M163" i="7" s="1"/>
  <c r="N163" i="7" s="1"/>
  <c r="F147" i="17"/>
  <c r="L147" i="7" s="1"/>
  <c r="M147" i="7" s="1"/>
  <c r="N147" i="7" s="1"/>
  <c r="F131" i="17"/>
  <c r="L131" i="7" s="1"/>
  <c r="M131" i="7" s="1"/>
  <c r="N131" i="7" s="1"/>
  <c r="F115" i="17"/>
  <c r="L115" i="7" s="1"/>
  <c r="M115" i="7" s="1"/>
  <c r="N115" i="7" s="1"/>
  <c r="F99" i="17"/>
  <c r="L99" i="7" s="1"/>
  <c r="M99" i="7" s="1"/>
  <c r="N99" i="7" s="1"/>
  <c r="F83" i="17"/>
  <c r="L83" i="7" s="1"/>
  <c r="M83" i="7" s="1"/>
  <c r="N83" i="7" s="1"/>
  <c r="F67" i="17"/>
  <c r="L67" i="7" s="1"/>
  <c r="M67" i="7" s="1"/>
  <c r="N67" i="7" s="1"/>
  <c r="F51" i="17"/>
  <c r="L51" i="7" s="1"/>
  <c r="M51" i="7" s="1"/>
  <c r="N51" i="7" s="1"/>
  <c r="F35" i="17"/>
  <c r="L35" i="7" s="1"/>
  <c r="C12" i="7"/>
  <c r="F191" i="17"/>
  <c r="L191" i="7" s="1"/>
  <c r="M191" i="7" s="1"/>
  <c r="N191" i="7" s="1"/>
  <c r="F175" i="17"/>
  <c r="L175" i="7" s="1"/>
  <c r="M175" i="7" s="1"/>
  <c r="N175" i="7" s="1"/>
  <c r="F159" i="17"/>
  <c r="L159" i="7" s="1"/>
  <c r="M159" i="7" s="1"/>
  <c r="N159" i="7" s="1"/>
  <c r="F143" i="17"/>
  <c r="L143" i="7" s="1"/>
  <c r="M143" i="7" s="1"/>
  <c r="N143" i="7" s="1"/>
  <c r="F127" i="17"/>
  <c r="L127" i="7" s="1"/>
  <c r="M127" i="7" s="1"/>
  <c r="N127" i="7" s="1"/>
  <c r="F111" i="17"/>
  <c r="L111" i="7" s="1"/>
  <c r="M111" i="7" s="1"/>
  <c r="N111" i="7" s="1"/>
  <c r="F95" i="17"/>
  <c r="L95" i="7" s="1"/>
  <c r="M95" i="7" s="1"/>
  <c r="N95" i="7" s="1"/>
  <c r="F79" i="17"/>
  <c r="L79" i="7" s="1"/>
  <c r="M79" i="7" s="1"/>
  <c r="N79" i="7" s="1"/>
  <c r="F63" i="17"/>
  <c r="L63" i="7" s="1"/>
  <c r="M63" i="7" s="1"/>
  <c r="N63" i="7" s="1"/>
  <c r="F47" i="17"/>
  <c r="L47" i="7" s="1"/>
  <c r="M47" i="7" s="1"/>
  <c r="N47" i="7" s="1"/>
  <c r="F31" i="17"/>
  <c r="L31" i="7" s="1"/>
  <c r="C15" i="7" l="1"/>
  <c r="M52" i="7"/>
  <c r="N52" i="7" s="1"/>
  <c r="C5" i="7"/>
  <c r="M23" i="7"/>
  <c r="N23" i="7" s="1"/>
  <c r="M5" i="20"/>
  <c r="M6" i="20"/>
  <c r="M8" i="20"/>
  <c r="M7" i="20"/>
  <c r="I10" i="20"/>
  <c r="L9" i="20" s="1"/>
  <c r="M9" i="20"/>
  <c r="K10" i="20"/>
  <c r="C8" i="7"/>
  <c r="M31" i="7"/>
  <c r="N31" i="7" s="1"/>
  <c r="C10" i="7"/>
  <c r="M35" i="7"/>
  <c r="N35" i="7" s="1"/>
  <c r="L5" i="20" l="1"/>
  <c r="L6" i="20"/>
  <c r="L8" i="20"/>
  <c r="L7" i="20"/>
  <c r="N6" i="20"/>
  <c r="N8" i="20"/>
  <c r="N5" i="20"/>
  <c r="N7" i="20"/>
  <c r="N9" i="20"/>
</calcChain>
</file>

<file path=xl/sharedStrings.xml><?xml version="1.0" encoding="utf-8"?>
<sst xmlns="http://schemas.openxmlformats.org/spreadsheetml/2006/main" count="25501" uniqueCount="865">
  <si>
    <t>TOTAL EX. CHINA/INDIA</t>
  </si>
  <si>
    <t>TOTAL CHINA/INDIA</t>
  </si>
  <si>
    <t>TOTAL</t>
  </si>
  <si>
    <t>Y</t>
  </si>
  <si>
    <t>Yemen, Rep. </t>
  </si>
  <si>
    <t>N</t>
  </si>
  <si>
    <t>West Bank and Gaza</t>
  </si>
  <si>
    <t>Vietnam</t>
  </si>
  <si>
    <t>Vanuatu</t>
  </si>
  <si>
    <t>Uzbekistan</t>
  </si>
  <si>
    <t>Graduating</t>
  </si>
  <si>
    <t>Ukraine</t>
  </si>
  <si>
    <t>Tuvalu</t>
  </si>
  <si>
    <t>Graduated</t>
  </si>
  <si>
    <t>Turkmenistan </t>
  </si>
  <si>
    <t>Tunisia</t>
  </si>
  <si>
    <t>Tonga</t>
  </si>
  <si>
    <t>Timor-Leste</t>
  </si>
  <si>
    <t>Thailand</t>
  </si>
  <si>
    <t>Syrian Arab Republic</t>
  </si>
  <si>
    <t>Swaziland</t>
  </si>
  <si>
    <t>Sudan</t>
  </si>
  <si>
    <t>Sri Lanka</t>
  </si>
  <si>
    <t>Senegal</t>
  </si>
  <si>
    <t>São Tomé and Principe</t>
  </si>
  <si>
    <t>Samoa</t>
  </si>
  <si>
    <t>Philippines</t>
  </si>
  <si>
    <t>Paraguay</t>
  </si>
  <si>
    <t>Papua New Guinea  </t>
  </si>
  <si>
    <t>Pakistan  </t>
  </si>
  <si>
    <t>Nigeria  </t>
  </si>
  <si>
    <t>Nicaragua</t>
  </si>
  <si>
    <t>Morocco</t>
  </si>
  <si>
    <t>Mongolia</t>
  </si>
  <si>
    <t>Moldova</t>
  </si>
  <si>
    <t>Micronesia, Fed. Sts.</t>
  </si>
  <si>
    <t>Marshall Islands</t>
  </si>
  <si>
    <t>Maldives</t>
  </si>
  <si>
    <t>Lesotho</t>
  </si>
  <si>
    <t>Kosovo  </t>
  </si>
  <si>
    <t>Kiribati</t>
  </si>
  <si>
    <t>Jordan</t>
  </si>
  <si>
    <t>Iraq</t>
  </si>
  <si>
    <t>Indonesia</t>
  </si>
  <si>
    <t>India</t>
  </si>
  <si>
    <t>Honduras</t>
  </si>
  <si>
    <t>Guyana</t>
  </si>
  <si>
    <t>Guatemala</t>
  </si>
  <si>
    <t>Georgia</t>
  </si>
  <si>
    <t>El Salvador</t>
  </si>
  <si>
    <t>Egypt, Arab Rep.</t>
  </si>
  <si>
    <t>Ecuador</t>
  </si>
  <si>
    <t>Djibouti</t>
  </si>
  <si>
    <t>Côte d'Ivoire</t>
  </si>
  <si>
    <t>Congo, Rep.</t>
  </si>
  <si>
    <t>China</t>
  </si>
  <si>
    <t>Cape Verde</t>
  </si>
  <si>
    <t>Cameroon</t>
  </si>
  <si>
    <t>Bolivia</t>
  </si>
  <si>
    <t>Bhutan</t>
  </si>
  <si>
    <t>Belize  </t>
  </si>
  <si>
    <t>Armenia</t>
  </si>
  <si>
    <t>Angola</t>
  </si>
  <si>
    <t>Thousands</t>
  </si>
  <si>
    <t>Ages 0-4</t>
  </si>
  <si>
    <t>GAVI</t>
  </si>
  <si>
    <t>Country</t>
  </si>
  <si>
    <t>Zimbabwe</t>
  </si>
  <si>
    <t>Zambia</t>
  </si>
  <si>
    <t>Uganda</t>
  </si>
  <si>
    <t>Togo</t>
  </si>
  <si>
    <t>Tanzania</t>
  </si>
  <si>
    <t>Tajikistan</t>
  </si>
  <si>
    <t>Somalia </t>
  </si>
  <si>
    <t>Solomon Islands</t>
  </si>
  <si>
    <t>Sierra Leone</t>
  </si>
  <si>
    <t>Rwanda</t>
  </si>
  <si>
    <t>Niger</t>
  </si>
  <si>
    <t>Nepal</t>
  </si>
  <si>
    <t>Myanmar</t>
  </si>
  <si>
    <t>Mozambique</t>
  </si>
  <si>
    <t>Mauritania</t>
  </si>
  <si>
    <t>Mali</t>
  </si>
  <si>
    <t>Malawi</t>
  </si>
  <si>
    <t>Madagascar</t>
  </si>
  <si>
    <t>Liberia</t>
  </si>
  <si>
    <t>Lao PDR</t>
  </si>
  <si>
    <t>Kyrgyz Republic</t>
  </si>
  <si>
    <t>Korea, Dem Rep.</t>
  </si>
  <si>
    <t>Kenya</t>
  </si>
  <si>
    <t>Haiti</t>
  </si>
  <si>
    <t>Guinea-Bisau</t>
  </si>
  <si>
    <t>Guinea</t>
  </si>
  <si>
    <t>Ghana</t>
  </si>
  <si>
    <t>Gambia, The</t>
  </si>
  <si>
    <t>Ethiopia</t>
  </si>
  <si>
    <t>Eritrea</t>
  </si>
  <si>
    <t>Congo, Dem. Rep</t>
  </si>
  <si>
    <t>Comoros</t>
  </si>
  <si>
    <t>Chad</t>
  </si>
  <si>
    <t>Central African Republic</t>
  </si>
  <si>
    <t>Cambodia</t>
  </si>
  <si>
    <t>Burundi</t>
  </si>
  <si>
    <t>Burkina Faso</t>
  </si>
  <si>
    <t>Benin</t>
  </si>
  <si>
    <t>Bangladesh</t>
  </si>
  <si>
    <t>Afghanistan</t>
  </si>
  <si>
    <t>Yemen</t>
  </si>
  <si>
    <t>Sao Tome and Principe</t>
  </si>
  <si>
    <t>Papua New Guinea</t>
  </si>
  <si>
    <t>Nigeria</t>
  </si>
  <si>
    <t>Lao</t>
  </si>
  <si>
    <t>Cote d'Ivoire</t>
  </si>
  <si>
    <t>Graduates in</t>
  </si>
  <si>
    <t>Viet Nam</t>
  </si>
  <si>
    <t>Venezuela (Bolivarian Republic of)</t>
  </si>
  <si>
    <t>Uruguay</t>
  </si>
  <si>
    <t>United States of America</t>
  </si>
  <si>
    <t>United Republic of Tanzania</t>
  </si>
  <si>
    <t>United Kingdom</t>
  </si>
  <si>
    <t>United Arab Emirates</t>
  </si>
  <si>
    <t>Turkmenistan</t>
  </si>
  <si>
    <t>Turkey</t>
  </si>
  <si>
    <t>Trinidad and Tobago</t>
  </si>
  <si>
    <t>The former Yugoslav Republic of Macedonia</t>
  </si>
  <si>
    <t>Switzerland</t>
  </si>
  <si>
    <t>Sweden</t>
  </si>
  <si>
    <t>Suriname</t>
  </si>
  <si>
    <t>Spain</t>
  </si>
  <si>
    <t>South Africa</t>
  </si>
  <si>
    <t>Somalia</t>
  </si>
  <si>
    <t>Slovenia</t>
  </si>
  <si>
    <t>Slovakia</t>
  </si>
  <si>
    <t>Singapore</t>
  </si>
  <si>
    <t>Seychelles</t>
  </si>
  <si>
    <t>Serbia</t>
  </si>
  <si>
    <t>Saudi Arabia</t>
  </si>
  <si>
    <t>San Marino</t>
  </si>
  <si>
    <t>Saint Vincent and the Grenadines</t>
  </si>
  <si>
    <t>Saint Lucia</t>
  </si>
  <si>
    <t>Saint Kitts and Nevis</t>
  </si>
  <si>
    <t>Russian Federation</t>
  </si>
  <si>
    <t>Romania</t>
  </si>
  <si>
    <t>Republic of Moldova</t>
  </si>
  <si>
    <t>Republic of Korea</t>
  </si>
  <si>
    <t>Qatar</t>
  </si>
  <si>
    <t>Portugal</t>
  </si>
  <si>
    <t>Poland</t>
  </si>
  <si>
    <t>Peru</t>
  </si>
  <si>
    <t>Panama</t>
  </si>
  <si>
    <t>Palau</t>
  </si>
  <si>
    <t>Pakistan</t>
  </si>
  <si>
    <t>Oman</t>
  </si>
  <si>
    <t>Norway</t>
  </si>
  <si>
    <t>Niue</t>
  </si>
  <si>
    <t>New Zealand</t>
  </si>
  <si>
    <t>Netherlands</t>
  </si>
  <si>
    <t>Nauru</t>
  </si>
  <si>
    <t>Namibia</t>
  </si>
  <si>
    <t>Montenegro</t>
  </si>
  <si>
    <t>Monaco</t>
  </si>
  <si>
    <t>Micronesia (Federated States of)</t>
  </si>
  <si>
    <t>Mexico</t>
  </si>
  <si>
    <t>Mauritius</t>
  </si>
  <si>
    <t>Malta</t>
  </si>
  <si>
    <t>Malaysia</t>
  </si>
  <si>
    <t>Luxembourg</t>
  </si>
  <si>
    <t>Lithuania</t>
  </si>
  <si>
    <t>Libyan Arab Jamahiriya</t>
  </si>
  <si>
    <t>Lebanon</t>
  </si>
  <si>
    <t>Latvia</t>
  </si>
  <si>
    <t>Lao People's Democratic Republic</t>
  </si>
  <si>
    <t>Kyrgyzstan</t>
  </si>
  <si>
    <t>Kuwait</t>
  </si>
  <si>
    <t>Kazakhstan</t>
  </si>
  <si>
    <t>Japan</t>
  </si>
  <si>
    <t>Jamaica</t>
  </si>
  <si>
    <t>Italy</t>
  </si>
  <si>
    <t>Israel</t>
  </si>
  <si>
    <t>Ireland</t>
  </si>
  <si>
    <t>Iran (Islamic Republic of)</t>
  </si>
  <si>
    <t>Iceland</t>
  </si>
  <si>
    <t>Hungary</t>
  </si>
  <si>
    <t>Guinea-Bissau</t>
  </si>
  <si>
    <t>Grenada</t>
  </si>
  <si>
    <t>Greece</t>
  </si>
  <si>
    <t>Germany</t>
  </si>
  <si>
    <t>Gambia</t>
  </si>
  <si>
    <t>Gabon</t>
  </si>
  <si>
    <t>France</t>
  </si>
  <si>
    <t>Finland</t>
  </si>
  <si>
    <t>Fiji</t>
  </si>
  <si>
    <t>Estonia</t>
  </si>
  <si>
    <t>Equatorial Guinea</t>
  </si>
  <si>
    <t>Egypt</t>
  </si>
  <si>
    <t>Dominican Republic</t>
  </si>
  <si>
    <t>Dominica</t>
  </si>
  <si>
    <t>Denmark</t>
  </si>
  <si>
    <t>Democratic Republic of the Congo</t>
  </si>
  <si>
    <t>Democratic People's Republic of Korea</t>
  </si>
  <si>
    <t>Czech Republic</t>
  </si>
  <si>
    <t>Cyprus</t>
  </si>
  <si>
    <t>Cuba</t>
  </si>
  <si>
    <t>Croatia</t>
  </si>
  <si>
    <t>São Tomé e Príncipe</t>
  </si>
  <si>
    <t>Costa Rica</t>
  </si>
  <si>
    <t>Cook Islands</t>
  </si>
  <si>
    <t>Congo</t>
  </si>
  <si>
    <t>Colombia</t>
  </si>
  <si>
    <t>Chile</t>
  </si>
  <si>
    <t>Canada</t>
  </si>
  <si>
    <t>Bulgaria</t>
  </si>
  <si>
    <t>Brunei Darussalam</t>
  </si>
  <si>
    <t>Brazil</t>
  </si>
  <si>
    <t>Korea, DPR</t>
  </si>
  <si>
    <t>Botswana</t>
  </si>
  <si>
    <t>Bosnia and Herzegovina</t>
  </si>
  <si>
    <t>Bolivia (Plurinational State of)</t>
  </si>
  <si>
    <t>Belize</t>
  </si>
  <si>
    <t>Belgium</t>
  </si>
  <si>
    <t>Belarus</t>
  </si>
  <si>
    <t>Barbados</t>
  </si>
  <si>
    <t>Bahrain</t>
  </si>
  <si>
    <t>Bahamas</t>
  </si>
  <si>
    <t>Azerbaijan</t>
  </si>
  <si>
    <t>Congo, Dem Republic of</t>
  </si>
  <si>
    <t>Austria</t>
  </si>
  <si>
    <t>Australia</t>
  </si>
  <si>
    <t>Argentina</t>
  </si>
  <si>
    <t>Antigua and Barbuda</t>
  </si>
  <si>
    <t>Andorra</t>
  </si>
  <si>
    <t>Algeria</t>
  </si>
  <si>
    <t>Albania</t>
  </si>
  <si>
    <t>Location</t>
  </si>
  <si>
    <t>Unvacc population</t>
  </si>
  <si>
    <t>Average vaccination % rate</t>
  </si>
  <si>
    <t>Vac Pop</t>
  </si>
  <si>
    <t>Vac %</t>
  </si>
  <si>
    <t>(assuming Sudan graduates in 2011)</t>
  </si>
  <si>
    <t># GAVI COUNTRIES</t>
  </si>
  <si>
    <t xml:space="preserve">Zambia  </t>
  </si>
  <si>
    <t xml:space="preserve">Yemen, Republic of   </t>
  </si>
  <si>
    <t xml:space="preserve">Vietnam              </t>
  </si>
  <si>
    <t xml:space="preserve">Vanuatu              </t>
  </si>
  <si>
    <t xml:space="preserve">Uzbekistan           </t>
  </si>
  <si>
    <t xml:space="preserve">Uganda               </t>
  </si>
  <si>
    <t>N/A</t>
  </si>
  <si>
    <t xml:space="preserve">Tonga                </t>
  </si>
  <si>
    <t xml:space="preserve">Togo                 </t>
  </si>
  <si>
    <t xml:space="preserve">Tanzania             </t>
  </si>
  <si>
    <t xml:space="preserve">Tajikistan           </t>
  </si>
  <si>
    <t xml:space="preserve">Sudan                </t>
  </si>
  <si>
    <t xml:space="preserve">St. Vincent &amp; Grens. </t>
  </si>
  <si>
    <t xml:space="preserve">St. Lucia            </t>
  </si>
  <si>
    <t xml:space="preserve">Sri Lanka            </t>
  </si>
  <si>
    <t xml:space="preserve">Solomon Islands      </t>
  </si>
  <si>
    <t xml:space="preserve">Sierra Leone         </t>
  </si>
  <si>
    <t xml:space="preserve">Senegal              </t>
  </si>
  <si>
    <t xml:space="preserve">São Tomé &amp; Príncipe  </t>
  </si>
  <si>
    <t xml:space="preserve">Samoa                </t>
  </si>
  <si>
    <t xml:space="preserve">Rwanda               </t>
  </si>
  <si>
    <t xml:space="preserve">Papua New Guinea     </t>
  </si>
  <si>
    <t xml:space="preserve">Pakistan             </t>
  </si>
  <si>
    <t xml:space="preserve">Nigeria              </t>
  </si>
  <si>
    <t xml:space="preserve">Niger                </t>
  </si>
  <si>
    <t xml:space="preserve">Nicaragua            </t>
  </si>
  <si>
    <t xml:space="preserve">Nepal                </t>
  </si>
  <si>
    <t xml:space="preserve">Mozambique           </t>
  </si>
  <si>
    <t xml:space="preserve">Mongolia             </t>
  </si>
  <si>
    <t xml:space="preserve">Moldova              </t>
  </si>
  <si>
    <t xml:space="preserve">Mauritania           </t>
  </si>
  <si>
    <t xml:space="preserve">Mali                 </t>
  </si>
  <si>
    <t xml:space="preserve">Maldives             </t>
  </si>
  <si>
    <t xml:space="preserve">Malawi               </t>
  </si>
  <si>
    <t xml:space="preserve">Liberia              </t>
  </si>
  <si>
    <t xml:space="preserve">Lesotho              </t>
  </si>
  <si>
    <t xml:space="preserve">Lao People's Dem.Rep </t>
  </si>
  <si>
    <t xml:space="preserve">Kyrgyz Republic      </t>
  </si>
  <si>
    <t xml:space="preserve">Kenya                </t>
  </si>
  <si>
    <t xml:space="preserve">India                </t>
  </si>
  <si>
    <t xml:space="preserve">Honduras             </t>
  </si>
  <si>
    <t xml:space="preserve">Guinea-Bissau        </t>
  </si>
  <si>
    <t xml:space="preserve">Guinea               </t>
  </si>
  <si>
    <t xml:space="preserve">Grenada              </t>
  </si>
  <si>
    <t xml:space="preserve">Ghana                </t>
  </si>
  <si>
    <t xml:space="preserve">Georgia              </t>
  </si>
  <si>
    <t xml:space="preserve">Gambia, The          </t>
  </si>
  <si>
    <t xml:space="preserve">Ethiopia             </t>
  </si>
  <si>
    <t xml:space="preserve">Djibouti             </t>
  </si>
  <si>
    <t xml:space="preserve">Côte d'Ivoire        </t>
  </si>
  <si>
    <t xml:space="preserve">Congo, Republic of   </t>
  </si>
  <si>
    <t xml:space="preserve">Congo, Dem. Rep. of  </t>
  </si>
  <si>
    <t xml:space="preserve">Comoros              </t>
  </si>
  <si>
    <t xml:space="preserve">Chad                 </t>
  </si>
  <si>
    <t xml:space="preserve">Central African Rep. </t>
  </si>
  <si>
    <t xml:space="preserve">Cape Verde           </t>
  </si>
  <si>
    <t xml:space="preserve">Cameroon             </t>
  </si>
  <si>
    <t xml:space="preserve">Cambodia             </t>
  </si>
  <si>
    <t xml:space="preserve">Burundi              </t>
  </si>
  <si>
    <t xml:space="preserve">Burkina Faso         </t>
  </si>
  <si>
    <t xml:space="preserve">Bosnia &amp; Herzegovina </t>
  </si>
  <si>
    <t xml:space="preserve">Bolivia              </t>
  </si>
  <si>
    <t xml:space="preserve">Bhutan               </t>
  </si>
  <si>
    <t xml:space="preserve">Benin                </t>
  </si>
  <si>
    <t xml:space="preserve">Bangladesh           </t>
  </si>
  <si>
    <t xml:space="preserve">Azerbaijan           </t>
  </si>
  <si>
    <t xml:space="preserve">Armenia              </t>
  </si>
  <si>
    <t xml:space="preserve">Angola               </t>
  </si>
  <si>
    <t>GAVI Status</t>
  </si>
  <si>
    <t>GDP Per Capita for LIC/LMIC</t>
  </si>
  <si>
    <t>Non-GAVI LMIC</t>
  </si>
  <si>
    <t>GAVI Eligible LMIC</t>
  </si>
  <si>
    <t>Graduating GAVI LMIC</t>
  </si>
  <si>
    <t>Population Totals</t>
  </si>
  <si>
    <t>Venezuela, RB</t>
  </si>
  <si>
    <t>St. Vincent and the Grenadines</t>
  </si>
  <si>
    <t>St. Lucia</t>
  </si>
  <si>
    <t>St. Kitts and Nevis</t>
  </si>
  <si>
    <t>Peru  </t>
  </si>
  <si>
    <t>Mayotte</t>
  </si>
  <si>
    <t>Macedonia, FYR  </t>
  </si>
  <si>
    <t>Libya</t>
  </si>
  <si>
    <t>Jamaica </t>
  </si>
  <si>
    <t>Iran, Islamic Rep. </t>
  </si>
  <si>
    <t>Dominican Republic  </t>
  </si>
  <si>
    <t>Antigua and Barbuda </t>
  </si>
  <si>
    <t>American Samoa</t>
  </si>
  <si>
    <t>Non-GAVI MIC</t>
  </si>
  <si>
    <t>Graduating GAVI</t>
  </si>
  <si>
    <t>Congo Rep.</t>
  </si>
  <si>
    <t>United States</t>
  </si>
  <si>
    <t>Slovak Republic</t>
  </si>
  <si>
    <t>Macedonia, FYR</t>
  </si>
  <si>
    <t>Korea, Rep.</t>
  </si>
  <si>
    <t>Iran, Islamic Rep.</t>
  </si>
  <si>
    <t>Bahamas, The</t>
  </si>
  <si>
    <t>INDEX</t>
  </si>
  <si>
    <t>Tax revenue over GDP</t>
  </si>
  <si>
    <t>Disbursbments received from GAVI (in U$S millions)</t>
  </si>
  <si>
    <t xml:space="preserve">Average percentage of immunization &amp; routine vaccine costs financed by the government (including loans) </t>
  </si>
  <si>
    <t>Percentage of routine vaccine costs financed by the government (including loans)</t>
  </si>
  <si>
    <t>Government effectiveness - 2009</t>
  </si>
  <si>
    <t>Per capita government expenditure on health (PPP int. $ - 2009)</t>
  </si>
  <si>
    <t>How to allocate resources to recipient countries</t>
  </si>
  <si>
    <t>Average growth</t>
  </si>
  <si>
    <t>Growth 8-7</t>
  </si>
  <si>
    <t>Growth 9-8</t>
  </si>
  <si>
    <t>2008</t>
  </si>
  <si>
    <t>2009</t>
  </si>
  <si>
    <t>(3)Population under 1 year: Own calculations</t>
  </si>
  <si>
    <t>(2) Total population: World Development indicators</t>
  </si>
  <si>
    <t>(1) Population Division, Department of Economic and Social Affairs, World Population Prospects: The 2008 Revision</t>
  </si>
  <si>
    <t>Notes:</t>
  </si>
  <si>
    <t>Low income</t>
  </si>
  <si>
    <t>ZWE</t>
  </si>
  <si>
    <t>ZMB</t>
  </si>
  <si>
    <t>Lower middle income</t>
  </si>
  <si>
    <t>YEM</t>
  </si>
  <si>
    <t>EH</t>
  </si>
  <si>
    <t>Western Sahara</t>
  </si>
  <si>
    <t>VNM</t>
  </si>
  <si>
    <t>Upper middle income</t>
  </si>
  <si>
    <t>VEN</t>
  </si>
  <si>
    <t>VUT</t>
  </si>
  <si>
    <t>UZB</t>
  </si>
  <si>
    <t>URY</t>
  </si>
  <si>
    <t>High income</t>
  </si>
  <si>
    <t>VIR</t>
  </si>
  <si>
    <t>United States Virgin Islands</t>
  </si>
  <si>
    <t>USA</t>
  </si>
  <si>
    <t>TZA</t>
  </si>
  <si>
    <t>GBR</t>
  </si>
  <si>
    <t>ARE</t>
  </si>
  <si>
    <t>UKR</t>
  </si>
  <si>
    <t>UGA</t>
  </si>
  <si>
    <t>TKM</t>
  </si>
  <si>
    <t>TUR</t>
  </si>
  <si>
    <t>TUN</t>
  </si>
  <si>
    <t>TTO</t>
  </si>
  <si>
    <t>TON</t>
  </si>
  <si>
    <t>TGO</t>
  </si>
  <si>
    <t>TLS</t>
  </si>
  <si>
    <t>THA</t>
  </si>
  <si>
    <t>MKD</t>
  </si>
  <si>
    <t>TFYR Macedonia</t>
  </si>
  <si>
    <t>TJK</t>
  </si>
  <si>
    <t>SYR</t>
  </si>
  <si>
    <t>CHE</t>
  </si>
  <si>
    <t>SWE</t>
  </si>
  <si>
    <t>SWZ</t>
  </si>
  <si>
    <t>SUR</t>
  </si>
  <si>
    <t>SDN</t>
  </si>
  <si>
    <t>LKA</t>
  </si>
  <si>
    <t>ESP</t>
  </si>
  <si>
    <t>ZAF</t>
  </si>
  <si>
    <t>SOM</t>
  </si>
  <si>
    <t>SLB</t>
  </si>
  <si>
    <t>SVN</t>
  </si>
  <si>
    <t>SVK</t>
  </si>
  <si>
    <t>SGP</t>
  </si>
  <si>
    <t>SLE</t>
  </si>
  <si>
    <t>RS</t>
  </si>
  <si>
    <t>SEN</t>
  </si>
  <si>
    <t>SAU</t>
  </si>
  <si>
    <t>STP</t>
  </si>
  <si>
    <t>WSM</t>
  </si>
  <si>
    <t>VCT</t>
  </si>
  <si>
    <t>LCA</t>
  </si>
  <si>
    <t>RWA</t>
  </si>
  <si>
    <t>RUS</t>
  </si>
  <si>
    <t>ROU</t>
  </si>
  <si>
    <t>RE</t>
  </si>
  <si>
    <t>Réunion</t>
  </si>
  <si>
    <t>MDA</t>
  </si>
  <si>
    <t>KOR</t>
  </si>
  <si>
    <t>QAT</t>
  </si>
  <si>
    <t>PR</t>
  </si>
  <si>
    <t>Puerto Rico</t>
  </si>
  <si>
    <t>PRT</t>
  </si>
  <si>
    <t>POL</t>
  </si>
  <si>
    <t>PHL</t>
  </si>
  <si>
    <t>PER</t>
  </si>
  <si>
    <t>PRY</t>
  </si>
  <si>
    <t>PNG</t>
  </si>
  <si>
    <t>PAN</t>
  </si>
  <si>
    <t>PAK</t>
  </si>
  <si>
    <t>OMN</t>
  </si>
  <si>
    <t>PSE</t>
  </si>
  <si>
    <t>Occupied Palestinian Territory</t>
  </si>
  <si>
    <t>NOR</t>
  </si>
  <si>
    <t>NGA</t>
  </si>
  <si>
    <t>NER</t>
  </si>
  <si>
    <t>NIC</t>
  </si>
  <si>
    <t>NZL</t>
  </si>
  <si>
    <t>NC</t>
  </si>
  <si>
    <t>New Caledonia</t>
  </si>
  <si>
    <t>AN</t>
  </si>
  <si>
    <t>Netherlands Antilles</t>
  </si>
  <si>
    <t>NLD</t>
  </si>
  <si>
    <t>NPL</t>
  </si>
  <si>
    <t>NAM</t>
  </si>
  <si>
    <t>MMR</t>
  </si>
  <si>
    <t>MOZ</t>
  </si>
  <si>
    <t>MAR</t>
  </si>
  <si>
    <t>ME</t>
  </si>
  <si>
    <t>MNG</t>
  </si>
  <si>
    <t>FSM</t>
  </si>
  <si>
    <t>Micronesia (Fed. States of)</t>
  </si>
  <si>
    <t>MEX</t>
  </si>
  <si>
    <t>MYT</t>
  </si>
  <si>
    <t>MUS</t>
  </si>
  <si>
    <t>MRT</t>
  </si>
  <si>
    <t>MQ</t>
  </si>
  <si>
    <t>Martinique</t>
  </si>
  <si>
    <t>MLT</t>
  </si>
  <si>
    <t>MLI</t>
  </si>
  <si>
    <t>MDV</t>
  </si>
  <si>
    <t>MYS</t>
  </si>
  <si>
    <t>MWI</t>
  </si>
  <si>
    <t>MDG</t>
  </si>
  <si>
    <t>LUX</t>
  </si>
  <si>
    <t>LTU</t>
  </si>
  <si>
    <t>LBY</t>
  </si>
  <si>
    <t>LBR</t>
  </si>
  <si>
    <t>LSO</t>
  </si>
  <si>
    <t>LBN</t>
  </si>
  <si>
    <t>LVA</t>
  </si>
  <si>
    <t>LAO</t>
  </si>
  <si>
    <t>KGZ</t>
  </si>
  <si>
    <t>KWT</t>
  </si>
  <si>
    <t>KEN</t>
  </si>
  <si>
    <t>KAZ</t>
  </si>
  <si>
    <t>JOR</t>
  </si>
  <si>
    <t>JPN</t>
  </si>
  <si>
    <t>JAM</t>
  </si>
  <si>
    <t>ITA</t>
  </si>
  <si>
    <t>ISR</t>
  </si>
  <si>
    <t>IRL</t>
  </si>
  <si>
    <t>IRQ</t>
  </si>
  <si>
    <t>IRN</t>
  </si>
  <si>
    <t>IDN</t>
  </si>
  <si>
    <t>IND</t>
  </si>
  <si>
    <t>ISL</t>
  </si>
  <si>
    <t>HUN</t>
  </si>
  <si>
    <t>HND</t>
  </si>
  <si>
    <t>HTI</t>
  </si>
  <si>
    <t>GUY</t>
  </si>
  <si>
    <t>GNB</t>
  </si>
  <si>
    <t>GIN</t>
  </si>
  <si>
    <t>GTM</t>
  </si>
  <si>
    <t>GU</t>
  </si>
  <si>
    <t>Guam</t>
  </si>
  <si>
    <t>GP</t>
  </si>
  <si>
    <t>Guadeloupe</t>
  </si>
  <si>
    <t>GRD</t>
  </si>
  <si>
    <t>GRC</t>
  </si>
  <si>
    <t>GHA</t>
  </si>
  <si>
    <t>DEU</t>
  </si>
  <si>
    <t>GEO</t>
  </si>
  <si>
    <t>GMB</t>
  </si>
  <si>
    <t>GAB</t>
  </si>
  <si>
    <t>PF</t>
  </si>
  <si>
    <t>French Polynesia</t>
  </si>
  <si>
    <t>GUF</t>
  </si>
  <si>
    <t>French Guiana</t>
  </si>
  <si>
    <t>FRA</t>
  </si>
  <si>
    <t>FIN</t>
  </si>
  <si>
    <t>FJI</t>
  </si>
  <si>
    <t>ETH</t>
  </si>
  <si>
    <t>EST</t>
  </si>
  <si>
    <t>ERI</t>
  </si>
  <si>
    <t>GNQ</t>
  </si>
  <si>
    <t>SLV</t>
  </si>
  <si>
    <t>EGY</t>
  </si>
  <si>
    <t>ECU</t>
  </si>
  <si>
    <t>DOM</t>
  </si>
  <si>
    <t>DJI</t>
  </si>
  <si>
    <t>DNK</t>
  </si>
  <si>
    <t>COD</t>
  </si>
  <si>
    <t>PRK</t>
  </si>
  <si>
    <t>Dem. People's Republic of Korea</t>
  </si>
  <si>
    <t>CZE</t>
  </si>
  <si>
    <t>CYP</t>
  </si>
  <si>
    <t>CUB</t>
  </si>
  <si>
    <t>HRV</t>
  </si>
  <si>
    <t>CIV</t>
  </si>
  <si>
    <t>CRI</t>
  </si>
  <si>
    <t>COG</t>
  </si>
  <si>
    <t>COM</t>
  </si>
  <si>
    <t>COL</t>
  </si>
  <si>
    <t>MAC</t>
  </si>
  <si>
    <t>China, Macao SAR</t>
  </si>
  <si>
    <t>HKG</t>
  </si>
  <si>
    <t>China, Hong Kong SAR</t>
  </si>
  <si>
    <t>CHN</t>
  </si>
  <si>
    <t>CHL</t>
  </si>
  <si>
    <t>Channel Islands</t>
  </si>
  <si>
    <t>TCD</t>
  </si>
  <si>
    <t>CAF</t>
  </si>
  <si>
    <t>CPV</t>
  </si>
  <si>
    <t>CAN</t>
  </si>
  <si>
    <t>CMR</t>
  </si>
  <si>
    <t>KHM</t>
  </si>
  <si>
    <t>BDI</t>
  </si>
  <si>
    <t>BFA</t>
  </si>
  <si>
    <t>BGR</t>
  </si>
  <si>
    <t>BRN</t>
  </si>
  <si>
    <t>BRA</t>
  </si>
  <si>
    <t>BWA</t>
  </si>
  <si>
    <t>BIH</t>
  </si>
  <si>
    <t>BOL</t>
  </si>
  <si>
    <t>BTN</t>
  </si>
  <si>
    <t>BEN</t>
  </si>
  <si>
    <t>BLZ</t>
  </si>
  <si>
    <t>BEL</t>
  </si>
  <si>
    <t>BLR</t>
  </si>
  <si>
    <t>BRB</t>
  </si>
  <si>
    <t>BGD</t>
  </si>
  <si>
    <t>BHR</t>
  </si>
  <si>
    <t>BHS</t>
  </si>
  <si>
    <t>AZE</t>
  </si>
  <si>
    <t>AUT</t>
  </si>
  <si>
    <t>AUS</t>
  </si>
  <si>
    <t>ABW</t>
  </si>
  <si>
    <t>Aruba</t>
  </si>
  <si>
    <t>ARM</t>
  </si>
  <si>
    <t>ARG</t>
  </si>
  <si>
    <t>AGO</t>
  </si>
  <si>
    <t>DZA</t>
  </si>
  <si>
    <t>ALB</t>
  </si>
  <si>
    <t>AFG</t>
  </si>
  <si>
    <t>XV</t>
  </si>
  <si>
    <t>XIV</t>
  </si>
  <si>
    <t>XIII</t>
  </si>
  <si>
    <t>XII=III*IX*(VI/100)</t>
  </si>
  <si>
    <t>XI=II*VIII*(V/100)</t>
  </si>
  <si>
    <t>X=I*VII*(IV/100)</t>
  </si>
  <si>
    <t>IX</t>
  </si>
  <si>
    <t>VIII</t>
  </si>
  <si>
    <t>VII</t>
  </si>
  <si>
    <t>VI</t>
  </si>
  <si>
    <t>V</t>
  </si>
  <si>
    <t>IV</t>
  </si>
  <si>
    <t>II</t>
  </si>
  <si>
    <t>I</t>
  </si>
  <si>
    <t>2005-2010</t>
  </si>
  <si>
    <t>2000-2005</t>
  </si>
  <si>
    <t>1995-2000</t>
  </si>
  <si>
    <t>Diphtheria tetanus toxoid and pertussis(DTP3)immunization coverage among  1-year-olds (WHO)</t>
  </si>
  <si>
    <t>Population under 1 year (3)</t>
  </si>
  <si>
    <t>Total population in thousands (2)</t>
  </si>
  <si>
    <t>Life table survivors, l(x), at exact age (x), both sexes 1 year (1)</t>
  </si>
  <si>
    <t>Crude birth rate (births per 1,000 population) (1)</t>
  </si>
  <si>
    <t>Country code</t>
  </si>
  <si>
    <t>Notes</t>
  </si>
  <si>
    <t>Income group</t>
  </si>
  <si>
    <t>iso_code</t>
  </si>
  <si>
    <t>Major area, region, country or area *</t>
  </si>
  <si>
    <t>unvaccinated children</t>
  </si>
  <si>
    <t>subtract india and china</t>
  </si>
  <si>
    <t>Total</t>
  </si>
  <si>
    <t>unvaccinated children (DTP3) among  1-year-olds</t>
  </si>
  <si>
    <t>Population under 1 year (1)</t>
  </si>
  <si>
    <t>Income Group</t>
  </si>
  <si>
    <t>China and India</t>
  </si>
  <si>
    <t>TOTAL PERCENTAGES</t>
  </si>
  <si>
    <t>Percentage of unvaccinated children</t>
  </si>
  <si>
    <t>Population under 1 year</t>
  </si>
  <si>
    <t>Correlation</t>
  </si>
  <si>
    <t>Declarations</t>
  </si>
  <si>
    <t/>
  </si>
  <si>
    <t>DHS Survey DTP3</t>
  </si>
  <si>
    <t>GDP per capita</t>
  </si>
  <si>
    <t>Diphtheria tetanus toxoid and pertussis (DTP3) immunization coverage among 1-year-olds (%)</t>
  </si>
  <si>
    <t>DTP3 (DHS)</t>
  </si>
  <si>
    <t>UMIC</t>
  </si>
  <si>
    <t>LMIC</t>
  </si>
  <si>
    <t>LIC</t>
  </si>
  <si>
    <t>OECD, CRS 2009</t>
  </si>
  <si>
    <t>health aid</t>
  </si>
  <si>
    <t>DR Congo</t>
  </si>
  <si>
    <t>Year</t>
  </si>
  <si>
    <t>Latest GINI</t>
  </si>
  <si>
    <t>Source: WB WDI</t>
  </si>
  <si>
    <t>Indonesia (2009)</t>
  </si>
  <si>
    <t>Nigeria (2004)</t>
  </si>
  <si>
    <t>China (2005)</t>
  </si>
  <si>
    <t>India (2005)</t>
  </si>
  <si>
    <t>Pakistan (2006)</t>
  </si>
  <si>
    <t>AFR</t>
  </si>
  <si>
    <t>EMR</t>
  </si>
  <si>
    <t>WPR</t>
  </si>
  <si>
    <t>AMR</t>
  </si>
  <si>
    <t>EUR</t>
  </si>
  <si>
    <t>United Kingdom of Great Britain and Northern Ireland</t>
  </si>
  <si>
    <t>SEAR</t>
  </si>
  <si>
    <t>SRB</t>
  </si>
  <si>
    <t>PICNIC</t>
  </si>
  <si>
    <t>MNE</t>
  </si>
  <si>
    <t>HIC</t>
  </si>
  <si>
    <t>Measles</t>
  </si>
  <si>
    <t>1990</t>
  </si>
  <si>
    <t>2010</t>
  </si>
  <si>
    <t>Cname</t>
  </si>
  <si>
    <t>ISO_code</t>
  </si>
  <si>
    <t>WHO_REGION</t>
  </si>
  <si>
    <t>Average</t>
  </si>
  <si>
    <t>All countries</t>
  </si>
  <si>
    <t>Dollars per DALY</t>
  </si>
  <si>
    <t>Total disbursements</t>
  </si>
  <si>
    <t>Total DALYS 2004</t>
  </si>
  <si>
    <t>Correlations</t>
  </si>
  <si>
    <t>PICNICs</t>
  </si>
  <si>
    <t>TB Burden</t>
  </si>
  <si>
    <t>Income category</t>
  </si>
  <si>
    <t> </t>
  </si>
  <si>
    <t>average (2003-2009)</t>
  </si>
  <si>
    <t>HIV Burden</t>
  </si>
  <si>
    <t>…</t>
  </si>
  <si>
    <t>ARV treatment, 2008</t>
  </si>
  <si>
    <t>ARV treatment</t>
  </si>
  <si>
    <t>Total MIC</t>
  </si>
  <si>
    <t>ARV Treatment 2009 (prev N/A)</t>
  </si>
  <si>
    <t>HIV/AIDS</t>
  </si>
  <si>
    <t>Malaria</t>
  </si>
  <si>
    <t>HSS</t>
  </si>
  <si>
    <t>Tuberculosis</t>
  </si>
  <si>
    <t>Zanzibar</t>
  </si>
  <si>
    <t>West Bank and Gaza Strip</t>
  </si>
  <si>
    <t>Tanzania (United Republic)</t>
  </si>
  <si>
    <t>HIV/AIDS / Tuberculosis</t>
  </si>
  <si>
    <t>Multicountry Western Pacific</t>
  </si>
  <si>
    <t>Multicountry South Asia</t>
  </si>
  <si>
    <t>Multicountry Americas (REDCA+)</t>
  </si>
  <si>
    <t>Multicountry Americas (OECS)</t>
  </si>
  <si>
    <t>Multicountry Americas (Meso)</t>
  </si>
  <si>
    <t>Multicountry Americas (CRN+)</t>
  </si>
  <si>
    <t>Multicountry Americas (COPRECOS)</t>
  </si>
  <si>
    <t>Multicountry Americas (CARICOM / PANCAP)</t>
  </si>
  <si>
    <t>Multicountry Americas (Andean)</t>
  </si>
  <si>
    <t>Multicountry Africa (West Africa Corridor Program)</t>
  </si>
  <si>
    <t>Multicountry Africa (SADC)</t>
  </si>
  <si>
    <t>Multicountry Africa (RMCC)</t>
  </si>
  <si>
    <t>Macedonia (Former Yugoslav Republic)</t>
  </si>
  <si>
    <t>Lutheran World Federation</t>
  </si>
  <si>
    <t>Lao (Peoples Democratic Republic)</t>
  </si>
  <si>
    <t>Kosovo</t>
  </si>
  <si>
    <t>Korea (Democratic Peoples Republic)</t>
  </si>
  <si>
    <t>Iran (Islamic Republic)</t>
  </si>
  <si>
    <t>Congo (Democratic Republic)</t>
  </si>
  <si>
    <t>Bolivia (Plurinational State)</t>
  </si>
  <si>
    <t>Integrated</t>
  </si>
  <si>
    <t>Total Grants, USD$, 2003 to present</t>
  </si>
  <si>
    <t>GADisease_</t>
  </si>
  <si>
    <t>Disb(USDEquiv)</t>
  </si>
  <si>
    <t>Income Status</t>
  </si>
  <si>
    <t>2,885,247,89</t>
  </si>
  <si>
    <t>Grand Total</t>
  </si>
  <si>
    <t>Zimbabwe Total</t>
  </si>
  <si>
    <t>Vaccine Introduction Grant</t>
  </si>
  <si>
    <t>Penta</t>
  </si>
  <si>
    <t>NVS</t>
  </si>
  <si>
    <t>ISS</t>
  </si>
  <si>
    <t>INS</t>
  </si>
  <si>
    <t>Zambia Total</t>
  </si>
  <si>
    <t>Tetra DTP-Hib</t>
  </si>
  <si>
    <t>MIC</t>
  </si>
  <si>
    <t>Yemen Total</t>
  </si>
  <si>
    <t>Pneumo</t>
  </si>
  <si>
    <t>Vietnam Total</t>
  </si>
  <si>
    <t>HepB mono</t>
  </si>
  <si>
    <t>Uzbekistan Total</t>
  </si>
  <si>
    <t>Ukraine Total</t>
  </si>
  <si>
    <t>Uganda Total</t>
  </si>
  <si>
    <t>Turkmenistan Total</t>
  </si>
  <si>
    <t>Togo Total</t>
  </si>
  <si>
    <t>Yellow Fever</t>
  </si>
  <si>
    <t>CSO Type A</t>
  </si>
  <si>
    <t>CSO</t>
  </si>
  <si>
    <t>Tanzania Total</t>
  </si>
  <si>
    <t>Tetra DTP-HepB</t>
  </si>
  <si>
    <t>Tajikistan Total</t>
  </si>
  <si>
    <t>Sudan South Total</t>
  </si>
  <si>
    <t>Sudan South</t>
  </si>
  <si>
    <t>Sudan North Total</t>
  </si>
  <si>
    <t>Sudan North</t>
  </si>
  <si>
    <t>Sri Lanka Total</t>
  </si>
  <si>
    <t>Somalia Total</t>
  </si>
  <si>
    <t>Solomon Isl Total</t>
  </si>
  <si>
    <t>Solomon Isl</t>
  </si>
  <si>
    <t>Sierra Leone Total</t>
  </si>
  <si>
    <t>Senegal Total</t>
  </si>
  <si>
    <t>Sâo Tomé Total</t>
  </si>
  <si>
    <t>Sâo Tomé</t>
  </si>
  <si>
    <t>Rwanda Total</t>
  </si>
  <si>
    <t>Papua NG Total</t>
  </si>
  <si>
    <t>Papua NG</t>
  </si>
  <si>
    <t>Pakistan Total</t>
  </si>
  <si>
    <t>CSO Type B</t>
  </si>
  <si>
    <t>Nigeria Total</t>
  </si>
  <si>
    <t>Niger Total</t>
  </si>
  <si>
    <t>Nicaragua Total</t>
  </si>
  <si>
    <t>Rotavirus</t>
  </si>
  <si>
    <t>Nepal Total</t>
  </si>
  <si>
    <t>Myanmar Total</t>
  </si>
  <si>
    <t>Mozambique Total</t>
  </si>
  <si>
    <t>Mongolia Total</t>
  </si>
  <si>
    <t>Moldova Total</t>
  </si>
  <si>
    <t>Mauritania Total</t>
  </si>
  <si>
    <t>Mali Total</t>
  </si>
  <si>
    <t>Malawi Total</t>
  </si>
  <si>
    <t>Madagascar Total</t>
  </si>
  <si>
    <t>Liberia Total</t>
  </si>
  <si>
    <t>Lesotho Total</t>
  </si>
  <si>
    <t>Lao PDR Total</t>
  </si>
  <si>
    <t>Kyrgyz Rep Total</t>
  </si>
  <si>
    <t>Kyrgyz Rep</t>
  </si>
  <si>
    <t>Korea DPR Total</t>
  </si>
  <si>
    <t>Korea DPR</t>
  </si>
  <si>
    <t>Kiribati Total</t>
  </si>
  <si>
    <t>Kenya Total</t>
  </si>
  <si>
    <t>Indonesia Total</t>
  </si>
  <si>
    <t>India Total</t>
  </si>
  <si>
    <t>Honduras Total</t>
  </si>
  <si>
    <t>Haiti Total</t>
  </si>
  <si>
    <t>Guyana Total</t>
  </si>
  <si>
    <t>Guinea Bissau Total</t>
  </si>
  <si>
    <t>Guinea Bissau</t>
  </si>
  <si>
    <t>Guinea Total</t>
  </si>
  <si>
    <t>Ghana Total</t>
  </si>
  <si>
    <t>Georgia Total</t>
  </si>
  <si>
    <t>Gambia Total</t>
  </si>
  <si>
    <t>Hib mono</t>
  </si>
  <si>
    <t>Ethiopia Total</t>
  </si>
  <si>
    <t>Eritrea Total</t>
  </si>
  <si>
    <t>Djibouti Total</t>
  </si>
  <si>
    <t>Cuba Total</t>
  </si>
  <si>
    <t>Côte d'Ivoire Total</t>
  </si>
  <si>
    <t>Congo DRC Total</t>
  </si>
  <si>
    <t>Congo DRC</t>
  </si>
  <si>
    <t>Congo Total</t>
  </si>
  <si>
    <t>Comoros Total</t>
  </si>
  <si>
    <t>China Total</t>
  </si>
  <si>
    <t>Chad Total</t>
  </si>
  <si>
    <t>CAR Total</t>
  </si>
  <si>
    <t>CAR</t>
  </si>
  <si>
    <t>Cameroon Total</t>
  </si>
  <si>
    <t>Cambodia Total</t>
  </si>
  <si>
    <t>Burundi Total</t>
  </si>
  <si>
    <t>Burkina Faso Total</t>
  </si>
  <si>
    <t>Bosnia &amp; Herz Total</t>
  </si>
  <si>
    <t>Bosnia &amp; Herz</t>
  </si>
  <si>
    <t>Bolivia Total</t>
  </si>
  <si>
    <t>Bhutan Total</t>
  </si>
  <si>
    <t>Benin Total</t>
  </si>
  <si>
    <t>Bangladesh Total</t>
  </si>
  <si>
    <t>Azerbaijan Total</t>
  </si>
  <si>
    <t>Armenia Total</t>
  </si>
  <si>
    <t>Angola Total</t>
  </si>
  <si>
    <t>Albania Total</t>
  </si>
  <si>
    <t>Afghanistan Total</t>
  </si>
  <si>
    <t>GAVI MIC</t>
  </si>
  <si>
    <t>GAVI LIC</t>
  </si>
  <si>
    <t>USD$, total disbursements, 2000-2011</t>
  </si>
  <si>
    <t>Programme</t>
  </si>
  <si>
    <t>Window</t>
  </si>
  <si>
    <t>Inc status</t>
  </si>
  <si>
    <t>Grand Total in USD</t>
  </si>
  <si>
    <t>Year Paid</t>
  </si>
  <si>
    <t>GF grant/aids inc corr</t>
  </si>
  <si>
    <t>*Average 2000-2010</t>
  </si>
  <si>
    <t>*Average from 2003-2009</t>
  </si>
  <si>
    <t>Unvacc pop*</t>
  </si>
  <si>
    <t>AIDS inc*</t>
  </si>
  <si>
    <t>GAVI grant</t>
  </si>
  <si>
    <t>GF grant</t>
  </si>
  <si>
    <t>XIII=III*IX*(VI/100)</t>
  </si>
  <si>
    <t>III</t>
  </si>
  <si>
    <t>2000-2010 av</t>
  </si>
  <si>
    <t>2015-2020</t>
  </si>
  <si>
    <t>2010-2015</t>
  </si>
  <si>
    <t>Unvacc</t>
  </si>
  <si>
    <t>GAVI aid</t>
  </si>
  <si>
    <t>PINCI</t>
  </si>
  <si>
    <t>Income</t>
  </si>
  <si>
    <t>PINCIs</t>
  </si>
  <si>
    <t>DTP-3 unvaccinated children, 2010</t>
  </si>
  <si>
    <t>HIV+/no ARV, 2008</t>
  </si>
  <si>
    <t>Highest 20%</t>
  </si>
  <si>
    <t>Fourth 20%</t>
  </si>
  <si>
    <t>Third 20%</t>
  </si>
  <si>
    <t>Second 20%</t>
  </si>
  <si>
    <t>Lowest 20%</t>
  </si>
  <si>
    <t>GAVI grant/unvacc cor</t>
  </si>
  <si>
    <t>Per capita government expenditure on health (PPP int. $)</t>
  </si>
  <si>
    <t>income</t>
  </si>
  <si>
    <t xml:space="preserve"> </t>
  </si>
  <si>
    <t>AVERAGES</t>
  </si>
  <si>
    <t>Per capita total expenditure on health at average exchange rate (US$)</t>
  </si>
  <si>
    <t>http://apps.who.int/gho/indicatorregistry/App_Main/view_indicator.aspx?iid=111</t>
  </si>
  <si>
    <t>Per capita total expenditure on health (PPP int. $)</t>
  </si>
  <si>
    <t>http://apps.who.int/gho/indicatorregistry/App_Main/view_indicator.aspx?iid=110</t>
  </si>
  <si>
    <t>Per capita government expenditure on health at average exchange rate (US$)</t>
  </si>
  <si>
    <t>http://apps.who.int/gho/indicatorregistry/App_Main/view_indicator.aspx?iid=109</t>
  </si>
  <si>
    <t>http://apps.who.int/gho/indicatorregistry/App_Main/view_indicator.aspx?iid=108</t>
  </si>
  <si>
    <t>(c) World Health Organization The information in this database is provided as a service to our users.The responsibility for the interpretation and use of the material lies with the user.In no event shall the World Health Organization be liable for any damages arising from the use of the information linked to this section.</t>
  </si>
  <si>
    <t>Total DALYs, 2004, '000 (WHO 2009)</t>
  </si>
  <si>
    <t>All causes</t>
  </si>
  <si>
    <t>TB</t>
  </si>
  <si>
    <t>Total VPD</t>
  </si>
  <si>
    <t>Serbia and Montenegro</t>
  </si>
  <si>
    <t>Row Labels</t>
  </si>
  <si>
    <t>DALYs, all causes</t>
  </si>
  <si>
    <t>TB DALYs</t>
  </si>
  <si>
    <t>HIV/AIDS DALYs</t>
  </si>
  <si>
    <t>Measles DALYs</t>
  </si>
  <si>
    <t>Total VPD DALYs</t>
  </si>
  <si>
    <t>Total DALYs</t>
  </si>
  <si>
    <t>% HIV+ on treatment</t>
  </si>
  <si>
    <t>GAVI Lower middle income</t>
  </si>
  <si>
    <t>Revised 10/6</t>
  </si>
  <si>
    <t>in millions of USD</t>
  </si>
  <si>
    <t>GDP</t>
  </si>
  <si>
    <t>Survey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</si>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</sst>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00"/>
    <numFmt numFmtId="165" formatCode="#\ ###\ ###\ ##0;\-#\ ###\ ###\ ##0;0"/>
    <numFmt numFmtId="166" formatCode="_(* #,##0.0_);_(* \(#,##0.0\);_(* &quot;-&quot;??_);_(@_)"/>
    <numFmt numFmtId="167" formatCode="_ * #,##0.00_ ;_ * \-#,##0.00_ ;_ * &quot;-&quot;??_ ;_ @_ "/>
    <numFmt numFmtId="168" formatCode="#\ ###\ ##0"/>
    <numFmt numFmtId="169"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i/>
      <sz val="11"/>
      <color theme="1"/>
      <name val="Calibri"/>
      <family val="2"/>
      <scheme val="minor"/>
    </font>
    <font>
      <sz val="11"/>
      <name val="Calibri"/>
      <family val="2"/>
      <scheme val="minor"/>
    </font>
    <font>
      <b/>
      <sz val="11"/>
      <name val="Calibri"/>
      <family val="2"/>
      <scheme val="minor"/>
    </font>
    <font>
      <sz val="10"/>
      <color theme="1"/>
      <name val="Verdana"/>
      <family val="2"/>
    </font>
    <font>
      <sz val="10"/>
      <name val="MS Sans Serif"/>
      <family val="2"/>
    </font>
    <font>
      <sz val="11"/>
      <color indexed="18"/>
      <name val="Calibri"/>
      <family val="2"/>
      <scheme val="minor"/>
    </font>
    <font>
      <sz val="10"/>
      <color indexed="8"/>
      <name val="Arial"/>
      <family val="2"/>
    </font>
    <font>
      <sz val="8"/>
      <name val="Arial"/>
      <family val="2"/>
    </font>
    <font>
      <b/>
      <sz val="9"/>
      <color indexed="9"/>
      <name val="Arial"/>
      <family val="2"/>
    </font>
    <font>
      <b/>
      <sz val="10"/>
      <color indexed="9"/>
      <name val="Arial"/>
      <family val="2"/>
    </font>
    <font>
      <i/>
      <sz val="11"/>
      <color theme="1"/>
      <name val="Calibri"/>
      <family val="2"/>
      <scheme val="minor"/>
    </font>
    <font>
      <b/>
      <sz val="11"/>
      <color rgb="FFFFFFFF"/>
      <name val="Calibri"/>
      <family val="2"/>
      <scheme val="minor"/>
    </font>
    <font>
      <sz val="11"/>
      <color rgb="FF444444"/>
      <name val="Calibri"/>
      <family val="2"/>
      <scheme val="minor"/>
    </font>
    <font>
      <b/>
      <sz val="11"/>
      <color rgb="FF444444"/>
      <name val="Calibri"/>
      <family val="2"/>
      <scheme val="minor"/>
    </font>
    <font>
      <u/>
      <sz val="10"/>
      <color indexed="12"/>
      <name val="Arial"/>
      <family val="2"/>
    </font>
  </fonts>
  <fills count="8">
    <fill>
      <patternFill patternType="none"/>
    </fill>
    <fill>
      <patternFill patternType="gray125"/>
    </fill>
    <fill>
      <patternFill patternType="solid">
        <fgColor indexed="22"/>
        <bgColor indexed="64"/>
      </patternFill>
    </fill>
    <fill>
      <patternFill patternType="solid">
        <fgColor indexed="22"/>
        <bgColor indexed="27"/>
      </patternFill>
    </fill>
    <fill>
      <patternFill patternType="solid">
        <fgColor indexed="22"/>
        <bgColor indexed="41"/>
      </patternFill>
    </fill>
    <fill>
      <patternFill patternType="solid">
        <fgColor rgb="FFBA5308"/>
        <bgColor indexed="64"/>
      </patternFill>
    </fill>
    <fill>
      <patternFill patternType="solid">
        <fgColor rgb="FFD3AA89"/>
        <bgColor indexed="64"/>
      </patternFill>
    </fill>
    <fill>
      <patternFill patternType="solid">
        <fgColor rgb="FFF8EDE6"/>
        <bgColor indexed="64"/>
      </patternFill>
    </fill>
  </fills>
  <borders count="16">
    <border>
      <left/>
      <right/>
      <top/>
      <bottom/>
      <diagonal/>
    </border>
    <border>
      <left/>
      <right/>
      <top/>
      <bottom style="thin">
        <color indexed="64"/>
      </bottom>
      <diagonal/>
    </border>
    <border>
      <left/>
      <right/>
      <top/>
      <bottom style="thick">
        <color auto="1"/>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56"/>
      </left>
      <right/>
      <top/>
      <bottom/>
      <diagonal/>
    </border>
    <border>
      <left/>
      <right style="thin">
        <color indexed="56"/>
      </right>
      <top/>
      <bottom/>
      <diagonal/>
    </border>
    <border>
      <left style="thin">
        <color indexed="8"/>
      </left>
      <right/>
      <top/>
      <bottom/>
      <diagonal/>
    </border>
    <border>
      <left style="medium">
        <color rgb="FF999999"/>
      </left>
      <right style="medium">
        <color rgb="FFCCCCCC"/>
      </right>
      <top style="medium">
        <color rgb="FFCCCCCC"/>
      </top>
      <bottom style="thick">
        <color rgb="FF666666"/>
      </bottom>
      <diagonal/>
    </border>
    <border>
      <left style="medium">
        <color rgb="FFCCCCCC"/>
      </left>
      <right style="medium">
        <color rgb="FFCCCCCC"/>
      </right>
      <top style="medium">
        <color rgb="FFCCCCCC"/>
      </top>
      <bottom style="thick">
        <color rgb="FF666666"/>
      </bottom>
      <diagonal/>
    </border>
    <border>
      <left/>
      <right style="medium">
        <color rgb="FFCCCCCC"/>
      </right>
      <top style="medium">
        <color rgb="FFBA5308"/>
      </top>
      <bottom style="medium">
        <color rgb="FFBA5308"/>
      </bottom>
      <diagonal/>
    </border>
    <border>
      <left style="medium">
        <color rgb="FFCCCCCC"/>
      </left>
      <right style="medium">
        <color rgb="FFCCCCCC"/>
      </right>
      <top style="medium">
        <color rgb="FFBA5308"/>
      </top>
      <bottom style="medium">
        <color rgb="FFBA5308"/>
      </bottom>
      <diagonal/>
    </border>
    <border>
      <left/>
      <right style="medium">
        <color rgb="FFCCCCCC"/>
      </right>
      <top style="medium">
        <color rgb="FFCCCCCC"/>
      </top>
      <bottom/>
      <diagonal/>
    </border>
    <border>
      <left style="medium">
        <color rgb="FFCCCCCC"/>
      </left>
      <right style="medium">
        <color rgb="FFCCCCCC"/>
      </right>
      <top style="medium">
        <color rgb="FFCCCCCC"/>
      </top>
      <bottom/>
      <diagonal/>
    </border>
    <border>
      <left/>
      <right/>
      <top/>
      <bottom style="thick">
        <color rgb="FF333333"/>
      </bottom>
      <diagonal/>
    </border>
    <border>
      <left style="medium">
        <color rgb="FFCCCCCC"/>
      </left>
      <right/>
      <top/>
      <bottom style="thick">
        <color rgb="FF333333"/>
      </bottom>
      <diagonal/>
    </border>
  </borders>
  <cellStyleXfs count="8">
    <xf numFmtId="0" fontId="0" fillId="0" borderId="0"/>
    <xf numFmtId="43" fontId="1" fillId="0" borderId="0" applyFont="0" applyFill="0" applyBorder="0" applyAlignment="0" applyProtection="0"/>
    <xf numFmtId="0" fontId="3" fillId="0" borderId="0"/>
    <xf numFmtId="0" fontId="3" fillId="0" borderId="0"/>
    <xf numFmtId="0" fontId="8" fillId="0" borderId="0"/>
    <xf numFmtId="0" fontId="10" fillId="0" borderId="0"/>
    <xf numFmtId="0" fontId="8" fillId="0" borderId="0"/>
    <xf numFmtId="43" fontId="3" fillId="0" borderId="0" applyFont="0" applyFill="0" applyBorder="0" applyAlignment="0" applyProtection="0"/>
  </cellStyleXfs>
  <cellXfs count="145">
    <xf numFmtId="0" fontId="0" fillId="0" borderId="0" xfId="0"/>
    <xf numFmtId="0" fontId="2" fillId="0" borderId="0" xfId="0" applyFont="1"/>
    <xf numFmtId="0" fontId="0" fillId="0" borderId="0" xfId="0" applyFont="1"/>
    <xf numFmtId="0" fontId="2" fillId="0" borderId="0" xfId="0" applyFont="1" applyAlignment="1">
      <alignment horizontal="left"/>
    </xf>
    <xf numFmtId="0" fontId="0" fillId="0" borderId="0" xfId="0" applyBorder="1"/>
    <xf numFmtId="0" fontId="0" fillId="0" borderId="0" xfId="0" applyAlignment="1">
      <alignment horizontal="left"/>
    </xf>
    <xf numFmtId="0" fontId="2" fillId="0" borderId="1" xfId="0" applyFont="1" applyBorder="1"/>
    <xf numFmtId="3" fontId="0" fillId="0" borderId="0" xfId="0" applyNumberFormat="1"/>
    <xf numFmtId="3" fontId="2" fillId="0" borderId="0" xfId="0" applyNumberFormat="1" applyFont="1"/>
    <xf numFmtId="3" fontId="0" fillId="0" borderId="0" xfId="0" applyNumberFormat="1" applyFont="1"/>
    <xf numFmtId="0" fontId="2" fillId="0" borderId="2" xfId="0" applyFont="1" applyBorder="1"/>
    <xf numFmtId="0" fontId="4" fillId="0" borderId="0" xfId="0" applyFont="1"/>
    <xf numFmtId="164" fontId="5" fillId="0" borderId="0" xfId="2" applyNumberFormat="1" applyFont="1" applyAlignment="1">
      <alignment horizontal="right"/>
    </xf>
    <xf numFmtId="0" fontId="0" fillId="0" borderId="0" xfId="0" applyNumberFormat="1" applyFont="1"/>
    <xf numFmtId="1" fontId="0" fillId="0" borderId="0" xfId="0" applyNumberFormat="1" applyFont="1"/>
    <xf numFmtId="0" fontId="2" fillId="0" borderId="0" xfId="0" applyFont="1" applyAlignment="1"/>
    <xf numFmtId="2" fontId="0" fillId="0" borderId="0" xfId="0" applyNumberFormat="1"/>
    <xf numFmtId="0" fontId="0" fillId="0" borderId="0" xfId="0" applyNumberFormat="1"/>
    <xf numFmtId="0" fontId="0" fillId="0" borderId="0" xfId="0" applyFont="1" applyAlignment="1">
      <alignment horizontal="center"/>
    </xf>
    <xf numFmtId="165" fontId="5" fillId="0" borderId="0" xfId="0" applyNumberFormat="1" applyFont="1" applyAlignment="1">
      <alignment horizontal="right"/>
    </xf>
    <xf numFmtId="0" fontId="5" fillId="0" borderId="0" xfId="0" applyFont="1" applyAlignment="1">
      <alignment horizontal="right" indent="1"/>
    </xf>
    <xf numFmtId="0" fontId="5" fillId="0" borderId="0" xfId="0" applyFont="1" applyAlignment="1">
      <alignment horizontal="center"/>
    </xf>
    <xf numFmtId="0" fontId="6" fillId="0" borderId="0" xfId="0" applyFont="1" applyAlignment="1">
      <alignment horizontal="center"/>
    </xf>
    <xf numFmtId="11" fontId="0" fillId="0" borderId="0" xfId="0" applyNumberFormat="1" applyFont="1"/>
    <xf numFmtId="0" fontId="6" fillId="0" borderId="0" xfId="0" applyFont="1" applyAlignment="1">
      <alignment horizontal="left" indent="1"/>
    </xf>
    <xf numFmtId="43" fontId="0" fillId="0" borderId="1" xfId="1" applyFont="1" applyBorder="1"/>
    <xf numFmtId="166" fontId="5" fillId="0" borderId="1" xfId="1" applyNumberFormat="1" applyFont="1" applyBorder="1" applyAlignment="1">
      <alignment horizontal="right"/>
    </xf>
    <xf numFmtId="0" fontId="5" fillId="0" borderId="1" xfId="0" applyFont="1" applyBorder="1" applyAlignment="1">
      <alignment horizontal="right" indent="1"/>
    </xf>
    <xf numFmtId="0" fontId="5" fillId="0" borderId="1" xfId="0" applyFont="1" applyBorder="1" applyAlignment="1">
      <alignment horizontal="center"/>
    </xf>
    <xf numFmtId="0" fontId="5" fillId="0" borderId="1" xfId="0" applyFont="1" applyBorder="1" applyAlignment="1">
      <alignment horizontal="left" indent="2"/>
    </xf>
    <xf numFmtId="43" fontId="0" fillId="0" borderId="0" xfId="1" applyFont="1"/>
    <xf numFmtId="166" fontId="5" fillId="0" borderId="0" xfId="1" applyNumberFormat="1" applyFont="1" applyAlignment="1">
      <alignment horizontal="right"/>
    </xf>
    <xf numFmtId="0" fontId="5" fillId="0" borderId="0" xfId="0" applyFont="1" applyAlignment="1">
      <alignment horizontal="left" indent="2"/>
    </xf>
    <xf numFmtId="0" fontId="5" fillId="0" borderId="0" xfId="0" applyFont="1" applyFill="1" applyBorder="1" applyAlignment="1">
      <alignment horizontal="center" vertical="center" wrapText="1"/>
    </xf>
    <xf numFmtId="0" fontId="5" fillId="0" borderId="0" xfId="0" quotePrefix="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0" fillId="0" borderId="0" xfId="0" applyFont="1" applyBorder="1"/>
    <xf numFmtId="0" fontId="0" fillId="0" borderId="1" xfId="0" applyFont="1" applyBorder="1"/>
    <xf numFmtId="0" fontId="0" fillId="0" borderId="1" xfId="0" applyFont="1" applyBorder="1" applyAlignment="1">
      <alignment horizontal="center"/>
    </xf>
    <xf numFmtId="11" fontId="0" fillId="0" borderId="0" xfId="0" applyNumberFormat="1"/>
    <xf numFmtId="4" fontId="0" fillId="0" borderId="0" xfId="0" applyNumberFormat="1"/>
    <xf numFmtId="4" fontId="0" fillId="0" borderId="0" xfId="1" applyNumberFormat="1" applyFont="1"/>
    <xf numFmtId="167" fontId="0" fillId="0" borderId="0" xfId="0" applyNumberFormat="1"/>
    <xf numFmtId="43" fontId="0" fillId="0" borderId="0" xfId="0" applyNumberFormat="1"/>
    <xf numFmtId="166" fontId="0" fillId="0" borderId="1" xfId="1" applyNumberFormat="1" applyFont="1" applyBorder="1"/>
    <xf numFmtId="0" fontId="0" fillId="0" borderId="1" xfId="0" applyBorder="1"/>
    <xf numFmtId="166" fontId="0" fillId="0" borderId="3" xfId="1" applyNumberFormat="1" applyFont="1" applyBorder="1"/>
    <xf numFmtId="0" fontId="0" fillId="0" borderId="3" xfId="0" applyBorder="1"/>
    <xf numFmtId="166" fontId="0" fillId="0" borderId="0" xfId="1" applyNumberFormat="1" applyFont="1"/>
    <xf numFmtId="10" fontId="2" fillId="0" borderId="0" xfId="0" applyNumberFormat="1" applyFont="1"/>
    <xf numFmtId="10" fontId="0" fillId="0" borderId="0" xfId="0" applyNumberFormat="1"/>
    <xf numFmtId="0" fontId="3" fillId="0" borderId="0" xfId="3"/>
    <xf numFmtId="0" fontId="3" fillId="0" borderId="0" xfId="3" applyNumberFormat="1"/>
    <xf numFmtId="49" fontId="3" fillId="0" borderId="0" xfId="3" applyNumberFormat="1"/>
    <xf numFmtId="0" fontId="3" fillId="0" borderId="0" xfId="3" applyAlignment="1">
      <alignment wrapText="1"/>
    </xf>
    <xf numFmtId="0" fontId="0" fillId="0" borderId="4" xfId="0" applyBorder="1"/>
    <xf numFmtId="0" fontId="7" fillId="0" borderId="0" xfId="0" applyFont="1" applyBorder="1" applyAlignment="1">
      <alignment horizontal="right" wrapText="1"/>
    </xf>
    <xf numFmtId="0" fontId="3" fillId="0" borderId="0" xfId="3" applyAlignment="1"/>
    <xf numFmtId="9" fontId="0" fillId="0" borderId="0" xfId="0" applyNumberFormat="1"/>
    <xf numFmtId="0" fontId="5" fillId="0" borderId="0" xfId="4" applyFont="1"/>
    <xf numFmtId="0" fontId="5" fillId="0" borderId="0" xfId="3" applyFont="1"/>
    <xf numFmtId="0" fontId="5" fillId="0" borderId="0" xfId="4" quotePrefix="1" applyNumberFormat="1" applyFont="1"/>
    <xf numFmtId="0" fontId="9" fillId="2" borderId="0" xfId="4" quotePrefix="1" applyNumberFormat="1" applyFont="1" applyFill="1"/>
    <xf numFmtId="1" fontId="0" fillId="0" borderId="0" xfId="0" applyNumberFormat="1"/>
    <xf numFmtId="0" fontId="2" fillId="0" borderId="0" xfId="0" applyFont="1" applyAlignment="1">
      <alignment horizontal="center"/>
    </xf>
    <xf numFmtId="0" fontId="2" fillId="0" borderId="0" xfId="0" applyFont="1" applyAlignment="1">
      <alignment horizontal="center" wrapText="1"/>
    </xf>
    <xf numFmtId="0" fontId="0" fillId="0" borderId="0" xfId="0" applyFill="1"/>
    <xf numFmtId="0" fontId="0" fillId="0" borderId="5" xfId="0" applyFill="1" applyBorder="1"/>
    <xf numFmtId="0" fontId="0" fillId="0" borderId="6" xfId="0" applyFill="1" applyBorder="1"/>
    <xf numFmtId="0" fontId="3" fillId="0" borderId="6" xfId="5" applyFont="1" applyFill="1" applyBorder="1" applyAlignment="1">
      <alignment wrapText="1"/>
    </xf>
    <xf numFmtId="168" fontId="11" fillId="0" borderId="0" xfId="0" applyNumberFormat="1" applyFont="1" applyFill="1" applyBorder="1" applyAlignment="1">
      <alignment horizontal="right"/>
    </xf>
    <xf numFmtId="168" fontId="11" fillId="0" borderId="5" xfId="0" applyNumberFormat="1" applyFont="1" applyFill="1" applyBorder="1" applyAlignment="1">
      <alignment horizontal="right"/>
    </xf>
    <xf numFmtId="168" fontId="11" fillId="3" borderId="5" xfId="0" applyNumberFormat="1" applyFont="1" applyFill="1" applyBorder="1" applyAlignment="1">
      <alignment horizontal="right"/>
    </xf>
    <xf numFmtId="168" fontId="11" fillId="3" borderId="0" xfId="0" applyNumberFormat="1" applyFont="1" applyFill="1" applyBorder="1" applyAlignment="1">
      <alignment horizontal="right"/>
    </xf>
    <xf numFmtId="0" fontId="11" fillId="4" borderId="5" xfId="5" applyFont="1" applyFill="1" applyBorder="1" applyAlignment="1">
      <alignment horizontal="right" wrapText="1"/>
    </xf>
    <xf numFmtId="0" fontId="11" fillId="0" borderId="5" xfId="5" applyFont="1" applyFill="1" applyBorder="1" applyAlignment="1">
      <alignment horizontal="right" wrapText="1"/>
    </xf>
    <xf numFmtId="0" fontId="3" fillId="0" borderId="7" xfId="5" applyFont="1" applyFill="1" applyBorder="1" applyAlignment="1">
      <alignment wrapText="1"/>
    </xf>
    <xf numFmtId="0" fontId="3" fillId="0" borderId="0" xfId="5" applyFont="1" applyFill="1" applyBorder="1" applyAlignment="1">
      <alignment wrapText="1"/>
    </xf>
    <xf numFmtId="168" fontId="11" fillId="2" borderId="5" xfId="0" applyNumberFormat="1" applyFont="1" applyFill="1" applyBorder="1" applyAlignment="1">
      <alignment horizontal="right"/>
    </xf>
    <xf numFmtId="0" fontId="12" fillId="0" borderId="5" xfId="0" applyFont="1" applyFill="1" applyBorder="1" applyAlignment="1">
      <alignment horizontal="centerContinuous" vertical="top" wrapText="1"/>
    </xf>
    <xf numFmtId="0" fontId="13" fillId="0" borderId="6" xfId="5" applyFont="1" applyFill="1" applyBorder="1" applyAlignment="1">
      <alignment horizontal="left" vertical="top"/>
    </xf>
    <xf numFmtId="0" fontId="0" fillId="0" borderId="6" xfId="5" applyFont="1" applyFill="1" applyBorder="1" applyAlignment="1">
      <alignment wrapText="1"/>
    </xf>
    <xf numFmtId="0" fontId="5" fillId="0" borderId="0" xfId="0" applyFont="1"/>
    <xf numFmtId="2" fontId="0" fillId="0" borderId="0" xfId="0" applyNumberFormat="1" applyFont="1"/>
    <xf numFmtId="3" fontId="5" fillId="0" borderId="0" xfId="4" applyNumberFormat="1" applyFont="1"/>
    <xf numFmtId="3" fontId="5" fillId="0" borderId="0" xfId="0" applyNumberFormat="1" applyFont="1"/>
    <xf numFmtId="3" fontId="14" fillId="0" borderId="0" xfId="0" applyNumberFormat="1" applyFont="1"/>
    <xf numFmtId="166" fontId="0" fillId="0" borderId="0" xfId="1" applyNumberFormat="1" applyFont="1" applyBorder="1"/>
    <xf numFmtId="0" fontId="5" fillId="0" borderId="0" xfId="6" applyFont="1"/>
    <xf numFmtId="3" fontId="5" fillId="0" borderId="0" xfId="6" applyNumberFormat="1" applyFont="1"/>
    <xf numFmtId="0" fontId="8" fillId="0" borderId="0" xfId="6"/>
    <xf numFmtId="0" fontId="15" fillId="5" borderId="8" xfId="6" applyFont="1" applyFill="1" applyBorder="1" applyAlignment="1">
      <alignment horizontal="right" vertical="center" wrapText="1"/>
    </xf>
    <xf numFmtId="3" fontId="15" fillId="5" borderId="8" xfId="6" applyNumberFormat="1" applyFont="1" applyFill="1" applyBorder="1" applyAlignment="1">
      <alignment horizontal="right" vertical="center" wrapText="1"/>
    </xf>
    <xf numFmtId="0" fontId="15" fillId="5" borderId="9" xfId="6" applyFont="1" applyFill="1" applyBorder="1" applyAlignment="1">
      <alignment horizontal="left" vertical="center" wrapText="1"/>
    </xf>
    <xf numFmtId="3" fontId="15" fillId="6" borderId="10" xfId="6" applyNumberFormat="1" applyFont="1" applyFill="1" applyBorder="1" applyAlignment="1">
      <alignment horizontal="right" vertical="center" wrapText="1"/>
    </xf>
    <xf numFmtId="0" fontId="15" fillId="6" borderId="10" xfId="6" applyFont="1" applyFill="1" applyBorder="1" applyAlignment="1">
      <alignment horizontal="right" vertical="center" wrapText="1"/>
    </xf>
    <xf numFmtId="0" fontId="15" fillId="6" borderId="11" xfId="6" applyFont="1" applyFill="1" applyBorder="1" applyAlignment="1">
      <alignment horizontal="left" vertical="center" wrapText="1"/>
    </xf>
    <xf numFmtId="3" fontId="16" fillId="0" borderId="12" xfId="6" applyNumberFormat="1" applyFont="1" applyBorder="1" applyAlignment="1">
      <alignment horizontal="right" vertical="center" wrapText="1"/>
    </xf>
    <xf numFmtId="0" fontId="16" fillId="0" borderId="12" xfId="6" applyFont="1" applyBorder="1" applyAlignment="1">
      <alignment horizontal="right" vertical="center" wrapText="1"/>
    </xf>
    <xf numFmtId="0" fontId="16" fillId="0" borderId="13" xfId="6" applyFont="1" applyBorder="1" applyAlignment="1">
      <alignment horizontal="left" vertical="center" wrapText="1"/>
    </xf>
    <xf numFmtId="0" fontId="17" fillId="7" borderId="13" xfId="6" applyFont="1" applyFill="1" applyBorder="1" applyAlignment="1">
      <alignment horizontal="left" vertical="center" wrapText="1"/>
    </xf>
    <xf numFmtId="3" fontId="8" fillId="0" borderId="0" xfId="6" applyNumberFormat="1"/>
    <xf numFmtId="0" fontId="15" fillId="5" borderId="14" xfId="6" applyFont="1" applyFill="1" applyBorder="1" applyAlignment="1">
      <alignment horizontal="center" vertical="center" wrapText="1"/>
    </xf>
    <xf numFmtId="0" fontId="15" fillId="5" borderId="15" xfId="6" applyFont="1" applyFill="1" applyBorder="1" applyAlignment="1">
      <alignment horizontal="left" vertical="center" wrapText="1"/>
    </xf>
    <xf numFmtId="1" fontId="5" fillId="0" borderId="0" xfId="6" applyNumberFormat="1" applyFont="1"/>
    <xf numFmtId="0" fontId="6" fillId="0" borderId="1" xfId="0"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xf numFmtId="1" fontId="9" fillId="2" borderId="0" xfId="4" quotePrefix="1" applyNumberFormat="1" applyFont="1" applyFill="1"/>
    <xf numFmtId="1" fontId="5" fillId="0" borderId="0" xfId="4" quotePrefix="1" applyNumberFormat="1" applyFont="1"/>
    <xf numFmtId="1" fontId="15" fillId="6" borderId="10" xfId="6" applyNumberFormat="1" applyFont="1" applyFill="1" applyBorder="1" applyAlignment="1">
      <alignment horizontal="right" vertical="center" wrapText="1"/>
    </xf>
    <xf numFmtId="1" fontId="5" fillId="0" borderId="0" xfId="4" applyNumberFormat="1" applyFont="1"/>
    <xf numFmtId="0" fontId="0" fillId="0" borderId="0" xfId="0"/>
    <xf numFmtId="0" fontId="0" fillId="0" borderId="0" xfId="0"/>
    <xf numFmtId="0" fontId="0" fillId="0" borderId="0" xfId="0" applyAlignment="1">
      <alignment wrapText="1"/>
    </xf>
    <xf numFmtId="0" fontId="0" fillId="0" borderId="0" xfId="0" applyAlignment="1"/>
    <xf numFmtId="0" fontId="3" fillId="0" borderId="0" xfId="0" applyFont="1" applyAlignment="1"/>
    <xf numFmtId="0" fontId="3" fillId="0" borderId="0" xfId="0" applyFont="1"/>
    <xf numFmtId="0" fontId="6" fillId="0" borderId="0" xfId="0" applyFont="1" applyAlignment="1">
      <alignment horizontal="left" indent="2"/>
    </xf>
    <xf numFmtId="0" fontId="6" fillId="0" borderId="0" xfId="0" applyFont="1" applyFill="1"/>
    <xf numFmtId="168" fontId="5" fillId="0" borderId="0" xfId="0" applyNumberFormat="1" applyFont="1" applyFill="1"/>
    <xf numFmtId="169" fontId="5" fillId="0" borderId="0" xfId="0" applyNumberFormat="1" applyFont="1" applyFill="1"/>
    <xf numFmtId="169" fontId="5" fillId="0" borderId="0" xfId="7" applyNumberFormat="1" applyFont="1" applyFill="1" applyAlignment="1">
      <alignment horizontal="right"/>
    </xf>
    <xf numFmtId="0" fontId="5" fillId="0" borderId="0" xfId="0" applyFont="1" applyFill="1" applyAlignment="1">
      <alignment horizontal="center"/>
    </xf>
    <xf numFmtId="0" fontId="5" fillId="0" borderId="0" xfId="0" applyFont="1" applyFill="1"/>
    <xf numFmtId="0" fontId="5" fillId="0" borderId="1" xfId="0" applyFont="1" applyFill="1" applyBorder="1" applyAlignment="1">
      <alignment horizontal="center"/>
    </xf>
    <xf numFmtId="0" fontId="0" fillId="0" borderId="0" xfId="0" pivotButton="1"/>
    <xf numFmtId="0" fontId="0" fillId="0" borderId="0" xfId="0"/>
    <xf numFmtId="0" fontId="0" fillId="0" borderId="0" xfId="0"/>
    <xf numFmtId="0" fontId="5" fillId="0" borderId="0" xfId="0" quotePrefix="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0" xfId="0"/>
    <xf numFmtId="0" fontId="0" fillId="0" borderId="0" xfId="0" applyAlignment="1">
      <alignment wrapText="1"/>
    </xf>
    <xf numFmtId="0" fontId="18" fillId="0" borderId="0" xfId="0" applyFont="1"/>
    <xf numFmtId="2" fontId="7" fillId="0" borderId="4" xfId="0" applyNumberFormat="1" applyFont="1" applyBorder="1" applyAlignment="1">
      <alignment horizontal="right" wrapText="1"/>
    </xf>
    <xf numFmtId="0" fontId="5" fillId="0" borderId="0" xfId="3" applyNumberFormat="1" applyFont="1"/>
  </cellXfs>
  <cellStyles count="8">
    <cellStyle name="_x000d__x000a_JournalTemplate=C:\COMFO\CTALK\JOURSTD.TPL_x000d__x000a_LbStateAddress=3 3 0 251 1 89 2 311_x000d__x000a_LbStateJou" xfId="2"/>
    <cellStyle name="Comma" xfId="1" builtinId="3"/>
    <cellStyle name="Comma_India summary 2002" xfId="7"/>
    <cellStyle name="Normal" xfId="0" builtinId="0"/>
    <cellStyle name="Normal 2" xfId="3"/>
    <cellStyle name="Normal 3" xfId="6"/>
    <cellStyle name="Normal_measles" xfId="4"/>
    <cellStyle name="Normal_Sheet1" xfId="5"/>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hartsheet" Target="chartsheets/sheet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cat>
            <c:strRef>
              <c:f>'GF disbursements'!$G$3:$G$7</c:f>
              <c:strCache>
                <c:ptCount val="5"/>
                <c:pt idx="0">
                  <c:v>LIC</c:v>
                </c:pt>
                <c:pt idx="1">
                  <c:v>LMIC</c:v>
                </c:pt>
                <c:pt idx="2">
                  <c:v>PICNIC</c:v>
                </c:pt>
                <c:pt idx="3">
                  <c:v>UMIC</c:v>
                </c:pt>
                <c:pt idx="4">
                  <c:v>HIC</c:v>
                </c:pt>
              </c:strCache>
            </c:strRef>
          </c:cat>
          <c:val>
            <c:numRef>
              <c:f>'GF disbursements'!$H$3:$H$7</c:f>
              <c:numCache>
                <c:formatCode>#,##0</c:formatCode>
                <c:ptCount val="5"/>
                <c:pt idx="0">
                  <c:v>6365342874</c:v>
                </c:pt>
                <c:pt idx="1">
                  <c:v>3024831043</c:v>
                </c:pt>
                <c:pt idx="2">
                  <c:v>2558495586</c:v>
                </c:pt>
                <c:pt idx="3">
                  <c:v>2008913340</c:v>
                </c:pt>
                <c:pt idx="4">
                  <c:v>43644553</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Population, GAVI Eligible LIC</a:t>
            </a:r>
          </a:p>
        </c:rich>
      </c:tx>
      <c:overlay val="0"/>
    </c:title>
    <c:autoTitleDeleted val="0"/>
    <c:plotArea>
      <c:layout/>
      <c:lineChart>
        <c:grouping val="standard"/>
        <c:varyColors val="0"/>
        <c:ser>
          <c:idx val="2"/>
          <c:order val="0"/>
          <c:tx>
            <c:v>Population</c:v>
          </c:tx>
          <c:marker>
            <c:symbol val="none"/>
          </c:marker>
          <c:cat>
            <c:numRef>
              <c:f>'Low Income'!$B$1:$E$1</c:f>
              <c:numCache>
                <c:formatCode>General</c:formatCode>
                <c:ptCount val="4"/>
                <c:pt idx="0">
                  <c:v>2010</c:v>
                </c:pt>
                <c:pt idx="1">
                  <c:v>2015</c:v>
                </c:pt>
                <c:pt idx="2">
                  <c:v>2020</c:v>
                </c:pt>
                <c:pt idx="3">
                  <c:v>2025</c:v>
                </c:pt>
              </c:numCache>
            </c:numRef>
          </c:cat>
          <c:val>
            <c:numRef>
              <c:f>'Low Income'!$B$42:$E$42</c:f>
              <c:numCache>
                <c:formatCode>General</c:formatCode>
                <c:ptCount val="4"/>
                <c:pt idx="0">
                  <c:v>114877</c:v>
                </c:pt>
                <c:pt idx="1">
                  <c:v>122994</c:v>
                </c:pt>
                <c:pt idx="2">
                  <c:v>130640</c:v>
                </c:pt>
                <c:pt idx="3">
                  <c:v>136419</c:v>
                </c:pt>
              </c:numCache>
            </c:numRef>
          </c:val>
          <c:smooth val="0"/>
        </c:ser>
        <c:dLbls>
          <c:showLegendKey val="0"/>
          <c:showVal val="0"/>
          <c:showCatName val="0"/>
          <c:showSerName val="0"/>
          <c:showPercent val="0"/>
          <c:showBubbleSize val="0"/>
        </c:dLbls>
        <c:marker val="1"/>
        <c:smooth val="0"/>
        <c:axId val="155053440"/>
        <c:axId val="156406912"/>
      </c:lineChart>
      <c:catAx>
        <c:axId val="155053440"/>
        <c:scaling>
          <c:orientation val="minMax"/>
        </c:scaling>
        <c:delete val="0"/>
        <c:axPos val="b"/>
        <c:numFmt formatCode="General" sourceLinked="1"/>
        <c:majorTickMark val="out"/>
        <c:minorTickMark val="none"/>
        <c:tickLblPos val="nextTo"/>
        <c:crossAx val="156406912"/>
        <c:crosses val="autoZero"/>
        <c:auto val="1"/>
        <c:lblAlgn val="ctr"/>
        <c:lblOffset val="100"/>
        <c:noMultiLvlLbl val="0"/>
      </c:catAx>
      <c:valAx>
        <c:axId val="156406912"/>
        <c:scaling>
          <c:orientation val="minMax"/>
        </c:scaling>
        <c:delete val="0"/>
        <c:axPos val="l"/>
        <c:majorGridlines/>
        <c:numFmt formatCode="General" sourceLinked="1"/>
        <c:majorTickMark val="out"/>
        <c:minorTickMark val="none"/>
        <c:tickLblPos val="nextTo"/>
        <c:crossAx val="155053440"/>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'LMIC Graphs'!$A$3</c:f>
              <c:strCache>
                <c:ptCount val="1"/>
                <c:pt idx="0">
                  <c:v>Graduating GAVI LMIC</c:v>
                </c:pt>
              </c:strCache>
            </c:strRef>
          </c:tx>
          <c:marker>
            <c:symbol val="none"/>
          </c:marker>
          <c:cat>
            <c:numRef>
              <c:f>'LMIC Graphs'!$B$2:$D$2</c:f>
              <c:numCache>
                <c:formatCode>General</c:formatCode>
                <c:ptCount val="3"/>
                <c:pt idx="0">
                  <c:v>2010</c:v>
                </c:pt>
                <c:pt idx="1">
                  <c:v>2015</c:v>
                </c:pt>
                <c:pt idx="2">
                  <c:v>2020</c:v>
                </c:pt>
              </c:numCache>
            </c:numRef>
          </c:cat>
          <c:val>
            <c:numRef>
              <c:f>'LMIC Graphs'!$B$3:$D$3</c:f>
              <c:numCache>
                <c:formatCode>General</c:formatCode>
                <c:ptCount val="3"/>
                <c:pt idx="0">
                  <c:v>32837</c:v>
                </c:pt>
                <c:pt idx="1">
                  <c:v>32304</c:v>
                </c:pt>
                <c:pt idx="2">
                  <c:v>31336</c:v>
                </c:pt>
              </c:numCache>
            </c:numRef>
          </c:val>
          <c:smooth val="0"/>
        </c:ser>
        <c:ser>
          <c:idx val="1"/>
          <c:order val="1"/>
          <c:tx>
            <c:strRef>
              <c:f>'LMIC Graphs'!$A$4</c:f>
              <c:strCache>
                <c:ptCount val="1"/>
                <c:pt idx="0">
                  <c:v>GAVI Eligible LMIC</c:v>
                </c:pt>
              </c:strCache>
            </c:strRef>
          </c:tx>
          <c:marker>
            <c:symbol val="none"/>
          </c:marker>
          <c:cat>
            <c:numRef>
              <c:f>'LMIC Graphs'!$B$2:$D$2</c:f>
              <c:numCache>
                <c:formatCode>General</c:formatCode>
                <c:ptCount val="3"/>
                <c:pt idx="0">
                  <c:v>2010</c:v>
                </c:pt>
                <c:pt idx="1">
                  <c:v>2015</c:v>
                </c:pt>
                <c:pt idx="2">
                  <c:v>2020</c:v>
                </c:pt>
              </c:numCache>
            </c:numRef>
          </c:cat>
          <c:val>
            <c:numRef>
              <c:f>'LMIC Graphs'!$B$4:$D$4</c:f>
              <c:numCache>
                <c:formatCode>General</c:formatCode>
                <c:ptCount val="3"/>
                <c:pt idx="0">
                  <c:v>206558</c:v>
                </c:pt>
                <c:pt idx="1">
                  <c:v>211147</c:v>
                </c:pt>
                <c:pt idx="2">
                  <c:v>213063</c:v>
                </c:pt>
              </c:numCache>
            </c:numRef>
          </c:val>
          <c:smooth val="0"/>
        </c:ser>
        <c:ser>
          <c:idx val="2"/>
          <c:order val="2"/>
          <c:tx>
            <c:strRef>
              <c:f>'LMIC Graphs'!$A$5</c:f>
              <c:strCache>
                <c:ptCount val="1"/>
                <c:pt idx="0">
                  <c:v>Non-GAVI LMIC</c:v>
                </c:pt>
              </c:strCache>
            </c:strRef>
          </c:tx>
          <c:marker>
            <c:symbol val="none"/>
          </c:marker>
          <c:cat>
            <c:numRef>
              <c:f>'LMIC Graphs'!$B$2:$D$2</c:f>
              <c:numCache>
                <c:formatCode>General</c:formatCode>
                <c:ptCount val="3"/>
                <c:pt idx="0">
                  <c:v>2010</c:v>
                </c:pt>
                <c:pt idx="1">
                  <c:v>2015</c:v>
                </c:pt>
                <c:pt idx="2">
                  <c:v>2020</c:v>
                </c:pt>
              </c:numCache>
            </c:numRef>
          </c:cat>
          <c:val>
            <c:numRef>
              <c:f>'LMIC Graphs'!$B$5:$D$5</c:f>
              <c:numCache>
                <c:formatCode>General</c:formatCode>
                <c:ptCount val="3"/>
                <c:pt idx="0">
                  <c:v>124931</c:v>
                </c:pt>
                <c:pt idx="1">
                  <c:v>122978</c:v>
                </c:pt>
                <c:pt idx="2">
                  <c:v>117253</c:v>
                </c:pt>
              </c:numCache>
            </c:numRef>
          </c:val>
          <c:smooth val="0"/>
        </c:ser>
        <c:dLbls>
          <c:showLegendKey val="0"/>
          <c:showVal val="0"/>
          <c:showCatName val="0"/>
          <c:showSerName val="0"/>
          <c:showPercent val="0"/>
          <c:showBubbleSize val="0"/>
        </c:dLbls>
        <c:marker val="1"/>
        <c:smooth val="0"/>
        <c:axId val="156334720"/>
        <c:axId val="156340608"/>
      </c:lineChart>
      <c:catAx>
        <c:axId val="156334720"/>
        <c:scaling>
          <c:orientation val="minMax"/>
        </c:scaling>
        <c:delete val="0"/>
        <c:axPos val="b"/>
        <c:numFmt formatCode="General" sourceLinked="1"/>
        <c:majorTickMark val="out"/>
        <c:minorTickMark val="none"/>
        <c:tickLblPos val="nextTo"/>
        <c:crossAx val="156340608"/>
        <c:crosses val="autoZero"/>
        <c:auto val="1"/>
        <c:lblAlgn val="ctr"/>
        <c:lblOffset val="100"/>
        <c:noMultiLvlLbl val="0"/>
      </c:catAx>
      <c:valAx>
        <c:axId val="156340608"/>
        <c:scaling>
          <c:orientation val="minMax"/>
        </c:scaling>
        <c:delete val="0"/>
        <c:axPos val="l"/>
        <c:majorGridlines/>
        <c:numFmt formatCode="General" sourceLinked="1"/>
        <c:majorTickMark val="out"/>
        <c:minorTickMark val="none"/>
        <c:tickLblPos val="nextTo"/>
        <c:crossAx val="156334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'MIC Graphs'!$A$3</c:f>
              <c:strCache>
                <c:ptCount val="1"/>
                <c:pt idx="0">
                  <c:v>Graduating GAVI</c:v>
                </c:pt>
              </c:strCache>
            </c:strRef>
          </c:tx>
          <c:marker>
            <c:symbol val="none"/>
          </c:marker>
          <c:cat>
            <c:numRef>
              <c:f>'MIC Graphs'!$B$2:$E$2</c:f>
              <c:numCache>
                <c:formatCode>General</c:formatCode>
                <c:ptCount val="4"/>
                <c:pt idx="0">
                  <c:v>2010</c:v>
                </c:pt>
                <c:pt idx="1">
                  <c:v>2015</c:v>
                </c:pt>
                <c:pt idx="2">
                  <c:v>2020</c:v>
                </c:pt>
                <c:pt idx="3">
                  <c:v>2025</c:v>
                </c:pt>
              </c:numCache>
            </c:numRef>
          </c:cat>
          <c:val>
            <c:numRef>
              <c:f>'MIC Graphs'!$B$3:$E$3</c:f>
              <c:numCache>
                <c:formatCode>General</c:formatCode>
                <c:ptCount val="4"/>
                <c:pt idx="0">
                  <c:v>1364</c:v>
                </c:pt>
                <c:pt idx="1">
                  <c:v>1408</c:v>
                </c:pt>
                <c:pt idx="2">
                  <c:v>1322</c:v>
                </c:pt>
                <c:pt idx="3">
                  <c:v>1190</c:v>
                </c:pt>
              </c:numCache>
            </c:numRef>
          </c:val>
          <c:smooth val="0"/>
        </c:ser>
        <c:ser>
          <c:idx val="1"/>
          <c:order val="1"/>
          <c:tx>
            <c:strRef>
              <c:f>'MIC Graphs'!$A$4</c:f>
              <c:strCache>
                <c:ptCount val="1"/>
                <c:pt idx="0">
                  <c:v>Non-GAVI MIC</c:v>
                </c:pt>
              </c:strCache>
            </c:strRef>
          </c:tx>
          <c:marker>
            <c:symbol val="none"/>
          </c:marker>
          <c:cat>
            <c:numRef>
              <c:f>'MIC Graphs'!$B$2:$E$2</c:f>
              <c:numCache>
                <c:formatCode>General</c:formatCode>
                <c:ptCount val="4"/>
                <c:pt idx="0">
                  <c:v>2010</c:v>
                </c:pt>
                <c:pt idx="1">
                  <c:v>2015</c:v>
                </c:pt>
                <c:pt idx="2">
                  <c:v>2020</c:v>
                </c:pt>
                <c:pt idx="3">
                  <c:v>2025</c:v>
                </c:pt>
              </c:numCache>
            </c:numRef>
          </c:cat>
          <c:val>
            <c:numRef>
              <c:f>'MIC Graphs'!$B$4:$E$4</c:f>
              <c:numCache>
                <c:formatCode>General</c:formatCode>
                <c:ptCount val="4"/>
                <c:pt idx="0">
                  <c:v>82335</c:v>
                </c:pt>
                <c:pt idx="1">
                  <c:v>80857</c:v>
                </c:pt>
                <c:pt idx="2">
                  <c:v>77458</c:v>
                </c:pt>
                <c:pt idx="3">
                  <c:v>73178</c:v>
                </c:pt>
              </c:numCache>
            </c:numRef>
          </c:val>
          <c:smooth val="0"/>
        </c:ser>
        <c:dLbls>
          <c:showLegendKey val="0"/>
          <c:showVal val="0"/>
          <c:showCatName val="0"/>
          <c:showSerName val="0"/>
          <c:showPercent val="0"/>
          <c:showBubbleSize val="0"/>
        </c:dLbls>
        <c:marker val="1"/>
        <c:smooth val="0"/>
        <c:axId val="156882048"/>
        <c:axId val="156883584"/>
      </c:lineChart>
      <c:catAx>
        <c:axId val="156882048"/>
        <c:scaling>
          <c:orientation val="minMax"/>
        </c:scaling>
        <c:delete val="0"/>
        <c:axPos val="b"/>
        <c:numFmt formatCode="General" sourceLinked="1"/>
        <c:majorTickMark val="out"/>
        <c:minorTickMark val="none"/>
        <c:tickLblPos val="nextTo"/>
        <c:crossAx val="156883584"/>
        <c:crosses val="autoZero"/>
        <c:auto val="1"/>
        <c:lblAlgn val="ctr"/>
        <c:lblOffset val="100"/>
        <c:noMultiLvlLbl val="0"/>
      </c:catAx>
      <c:valAx>
        <c:axId val="156883584"/>
        <c:scaling>
          <c:orientation val="minMax"/>
        </c:scaling>
        <c:delete val="0"/>
        <c:axPos val="l"/>
        <c:majorGridlines/>
        <c:numFmt formatCode="General" sourceLinked="1"/>
        <c:majorTickMark val="out"/>
        <c:minorTickMark val="none"/>
        <c:tickLblPos val="nextTo"/>
        <c:crossAx val="1568820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GAVI Population</a:t>
            </a:r>
          </a:p>
        </c:rich>
      </c:tx>
      <c:overlay val="1"/>
    </c:title>
    <c:autoTitleDeleted val="0"/>
    <c:plotArea>
      <c:layout/>
      <c:lineChart>
        <c:grouping val="standard"/>
        <c:varyColors val="0"/>
        <c:ser>
          <c:idx val="0"/>
          <c:order val="0"/>
          <c:cat>
            <c:numRef>
              <c:f>'Table 2 Gavi grads'!$B$1:$D$1</c:f>
              <c:numCache>
                <c:formatCode>General</c:formatCode>
                <c:ptCount val="3"/>
                <c:pt idx="0">
                  <c:v>2010</c:v>
                </c:pt>
                <c:pt idx="1">
                  <c:v>2015</c:v>
                </c:pt>
                <c:pt idx="2">
                  <c:v>2020</c:v>
                </c:pt>
              </c:numCache>
            </c:numRef>
          </c:cat>
          <c:val>
            <c:numRef>
              <c:f>'Table 2 Gavi grads'!$B$59:$D$59</c:f>
              <c:numCache>
                <c:formatCode>General</c:formatCode>
                <c:ptCount val="3"/>
                <c:pt idx="0">
                  <c:v>328615</c:v>
                </c:pt>
                <c:pt idx="1">
                  <c:v>165342</c:v>
                </c:pt>
                <c:pt idx="2">
                  <c:v>155865</c:v>
                </c:pt>
              </c:numCache>
            </c:numRef>
          </c:val>
          <c:smooth val="0"/>
        </c:ser>
        <c:dLbls>
          <c:showLegendKey val="0"/>
          <c:showVal val="0"/>
          <c:showCatName val="0"/>
          <c:showSerName val="0"/>
          <c:showPercent val="0"/>
          <c:showBubbleSize val="0"/>
        </c:dLbls>
        <c:marker val="1"/>
        <c:smooth val="0"/>
        <c:axId val="158415488"/>
        <c:axId val="158429568"/>
      </c:lineChart>
      <c:catAx>
        <c:axId val="158415488"/>
        <c:scaling>
          <c:orientation val="minMax"/>
        </c:scaling>
        <c:delete val="0"/>
        <c:axPos val="b"/>
        <c:numFmt formatCode="General" sourceLinked="1"/>
        <c:majorTickMark val="out"/>
        <c:minorTickMark val="none"/>
        <c:tickLblPos val="nextTo"/>
        <c:crossAx val="158429568"/>
        <c:crosses val="autoZero"/>
        <c:auto val="1"/>
        <c:lblAlgn val="ctr"/>
        <c:lblOffset val="100"/>
        <c:noMultiLvlLbl val="0"/>
      </c:catAx>
      <c:valAx>
        <c:axId val="158429568"/>
        <c:scaling>
          <c:orientation val="minMax"/>
        </c:scaling>
        <c:delete val="0"/>
        <c:axPos val="l"/>
        <c:majorGridlines/>
        <c:numFmt formatCode="General" sourceLinked="1"/>
        <c:majorTickMark val="out"/>
        <c:minorTickMark val="none"/>
        <c:tickLblPos val="nextTo"/>
        <c:crossAx val="158415488"/>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a:t>
            </a:r>
            <a:r>
              <a:rPr lang="en-US" baseline="0"/>
              <a:t> DALYs</a:t>
            </a:r>
          </a:p>
        </c:rich>
      </c:tx>
      <c:layout/>
      <c:overlay val="1"/>
    </c:title>
    <c:autoTitleDeleted val="0"/>
    <c:plotArea>
      <c:layout/>
      <c:barChart>
        <c:barDir val="col"/>
        <c:grouping val="clustered"/>
        <c:varyColors val="0"/>
        <c:ser>
          <c:idx val="0"/>
          <c:order val="0"/>
          <c:invertIfNegative val="0"/>
          <c:cat>
            <c:strRef>
              <c:f>'DALY collapsed'!$A$13:$A$18</c:f>
              <c:strCache>
                <c:ptCount val="6"/>
                <c:pt idx="0">
                  <c:v>Low income</c:v>
                </c:pt>
                <c:pt idx="1">
                  <c:v>Lower middle income</c:v>
                </c:pt>
                <c:pt idx="2">
                  <c:v>PINCIs</c:v>
                </c:pt>
                <c:pt idx="3">
                  <c:v>Upper middle income</c:v>
                </c:pt>
                <c:pt idx="4">
                  <c:v>Total MIC</c:v>
                </c:pt>
                <c:pt idx="5">
                  <c:v>High income</c:v>
                </c:pt>
              </c:strCache>
            </c:strRef>
          </c:cat>
          <c:val>
            <c:numRef>
              <c:f>'DALY collapsed'!$B$13:$B$18</c:f>
              <c:numCache>
                <c:formatCode>#,##0</c:formatCode>
                <c:ptCount val="6"/>
                <c:pt idx="0">
                  <c:v>317555.70146874996</c:v>
                </c:pt>
                <c:pt idx="1">
                  <c:v>179105.8355336914</c:v>
                </c:pt>
                <c:pt idx="2">
                  <c:v>677136.00599999994</c:v>
                </c:pt>
                <c:pt idx="3">
                  <c:v>214331.33714355473</c:v>
                </c:pt>
                <c:pt idx="4">
                  <c:v>1070573.1786772462</c:v>
                </c:pt>
                <c:pt idx="5">
                  <c:v>132800.2387709961</c:v>
                </c:pt>
              </c:numCache>
            </c:numRef>
          </c:val>
        </c:ser>
        <c:dLbls>
          <c:showLegendKey val="0"/>
          <c:showVal val="0"/>
          <c:showCatName val="0"/>
          <c:showSerName val="0"/>
          <c:showPercent val="0"/>
          <c:showBubbleSize val="0"/>
        </c:dLbls>
        <c:gapWidth val="150"/>
        <c:axId val="161059584"/>
        <c:axId val="161061120"/>
      </c:barChart>
      <c:catAx>
        <c:axId val="161059584"/>
        <c:scaling>
          <c:orientation val="minMax"/>
        </c:scaling>
        <c:delete val="0"/>
        <c:axPos val="b"/>
        <c:majorTickMark val="out"/>
        <c:minorTickMark val="none"/>
        <c:tickLblPos val="nextTo"/>
        <c:crossAx val="161061120"/>
        <c:crosses val="autoZero"/>
        <c:auto val="1"/>
        <c:lblAlgn val="ctr"/>
        <c:lblOffset val="100"/>
        <c:noMultiLvlLbl val="0"/>
      </c:catAx>
      <c:valAx>
        <c:axId val="161061120"/>
        <c:scaling>
          <c:orientation val="minMax"/>
        </c:scaling>
        <c:delete val="0"/>
        <c:axPos val="l"/>
        <c:majorGridlines/>
        <c:numFmt formatCode="#,##0" sourceLinked="1"/>
        <c:majorTickMark val="out"/>
        <c:minorTickMark val="none"/>
        <c:tickLblPos val="nextTo"/>
        <c:crossAx val="161059584"/>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TB DALYs</a:t>
            </a:r>
          </a:p>
        </c:rich>
      </c:tx>
      <c:layout/>
      <c:overlay val="1"/>
    </c:title>
    <c:autoTitleDeleted val="0"/>
    <c:plotArea>
      <c:layout/>
      <c:barChart>
        <c:barDir val="col"/>
        <c:grouping val="clustered"/>
        <c:varyColors val="0"/>
        <c:ser>
          <c:idx val="0"/>
          <c:order val="0"/>
          <c:invertIfNegative val="0"/>
          <c:cat>
            <c:strRef>
              <c:f>'DALY collapsed'!$A$13:$A$18</c:f>
              <c:strCache>
                <c:ptCount val="6"/>
                <c:pt idx="0">
                  <c:v>Low income</c:v>
                </c:pt>
                <c:pt idx="1">
                  <c:v>Lower middle income</c:v>
                </c:pt>
                <c:pt idx="2">
                  <c:v>PINCIs</c:v>
                </c:pt>
                <c:pt idx="3">
                  <c:v>Upper middle income</c:v>
                </c:pt>
                <c:pt idx="4">
                  <c:v>Total MIC</c:v>
                </c:pt>
                <c:pt idx="5">
                  <c:v>High income</c:v>
                </c:pt>
              </c:strCache>
            </c:strRef>
          </c:cat>
          <c:val>
            <c:numRef>
              <c:f>'DALY collapsed'!$C$13:$C$18</c:f>
              <c:numCache>
                <c:formatCode>#,##0</c:formatCode>
                <c:ptCount val="6"/>
                <c:pt idx="0">
                  <c:v>9115.549589843753</c:v>
                </c:pt>
                <c:pt idx="1">
                  <c:v>4128.5815677337641</c:v>
                </c:pt>
                <c:pt idx="2">
                  <c:v>17220.929625000001</c:v>
                </c:pt>
                <c:pt idx="3">
                  <c:v>3513.0503714204433</c:v>
                </c:pt>
                <c:pt idx="4">
                  <c:v>24862.561564154206</c:v>
                </c:pt>
                <c:pt idx="5">
                  <c:v>209.57160624445976</c:v>
                </c:pt>
              </c:numCache>
            </c:numRef>
          </c:val>
        </c:ser>
        <c:dLbls>
          <c:showLegendKey val="0"/>
          <c:showVal val="0"/>
          <c:showCatName val="0"/>
          <c:showSerName val="0"/>
          <c:showPercent val="0"/>
          <c:showBubbleSize val="0"/>
        </c:dLbls>
        <c:gapWidth val="150"/>
        <c:axId val="161073024"/>
        <c:axId val="161074560"/>
      </c:barChart>
      <c:catAx>
        <c:axId val="161073024"/>
        <c:scaling>
          <c:orientation val="minMax"/>
        </c:scaling>
        <c:delete val="0"/>
        <c:axPos val="b"/>
        <c:majorTickMark val="out"/>
        <c:minorTickMark val="none"/>
        <c:tickLblPos val="nextTo"/>
        <c:crossAx val="161074560"/>
        <c:crosses val="autoZero"/>
        <c:auto val="1"/>
        <c:lblAlgn val="ctr"/>
        <c:lblOffset val="100"/>
        <c:noMultiLvlLbl val="0"/>
      </c:catAx>
      <c:valAx>
        <c:axId val="161074560"/>
        <c:scaling>
          <c:orientation val="minMax"/>
        </c:scaling>
        <c:delete val="0"/>
        <c:axPos val="l"/>
        <c:majorGridlines/>
        <c:numFmt formatCode="#,##0" sourceLinked="1"/>
        <c:majorTickMark val="out"/>
        <c:minorTickMark val="none"/>
        <c:tickLblPos val="nextTo"/>
        <c:crossAx val="161073024"/>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HIV/AIDS</a:t>
            </a:r>
            <a:r>
              <a:rPr lang="en-US" baseline="0"/>
              <a:t> DALYs</a:t>
            </a:r>
            <a:endParaRPr lang="en-US"/>
          </a:p>
        </c:rich>
      </c:tx>
      <c:layout/>
      <c:overlay val="1"/>
    </c:title>
    <c:autoTitleDeleted val="0"/>
    <c:plotArea>
      <c:layout/>
      <c:barChart>
        <c:barDir val="col"/>
        <c:grouping val="clustered"/>
        <c:varyColors val="0"/>
        <c:ser>
          <c:idx val="0"/>
          <c:order val="0"/>
          <c:invertIfNegative val="0"/>
          <c:cat>
            <c:strRef>
              <c:f>'DALY collapsed'!$A$13:$A$18</c:f>
              <c:strCache>
                <c:ptCount val="6"/>
                <c:pt idx="0">
                  <c:v>Low income</c:v>
                </c:pt>
                <c:pt idx="1">
                  <c:v>Lower middle income</c:v>
                </c:pt>
                <c:pt idx="2">
                  <c:v>PINCIs</c:v>
                </c:pt>
                <c:pt idx="3">
                  <c:v>Upper middle income</c:v>
                </c:pt>
                <c:pt idx="4">
                  <c:v>Total MIC</c:v>
                </c:pt>
                <c:pt idx="5">
                  <c:v>High income</c:v>
                </c:pt>
              </c:strCache>
            </c:strRef>
          </c:cat>
          <c:val>
            <c:numRef>
              <c:f>'DALY collapsed'!$D$13:$D$18</c:f>
              <c:numCache>
                <c:formatCode>#,##0</c:formatCode>
                <c:ptCount val="6"/>
                <c:pt idx="0">
                  <c:v>27109.926569210053</c:v>
                </c:pt>
                <c:pt idx="1">
                  <c:v>8170.4931205749526</c:v>
                </c:pt>
                <c:pt idx="2">
                  <c:v>9525.7339008789058</c:v>
                </c:pt>
                <c:pt idx="3">
                  <c:v>12984.549700064303</c:v>
                </c:pt>
                <c:pt idx="4">
                  <c:v>30680.776721518159</c:v>
                </c:pt>
                <c:pt idx="5">
                  <c:v>659.41645599269873</c:v>
                </c:pt>
              </c:numCache>
            </c:numRef>
          </c:val>
        </c:ser>
        <c:dLbls>
          <c:showLegendKey val="0"/>
          <c:showVal val="0"/>
          <c:showCatName val="0"/>
          <c:showSerName val="0"/>
          <c:showPercent val="0"/>
          <c:showBubbleSize val="0"/>
        </c:dLbls>
        <c:gapWidth val="150"/>
        <c:axId val="161111040"/>
        <c:axId val="161125120"/>
      </c:barChart>
      <c:catAx>
        <c:axId val="161111040"/>
        <c:scaling>
          <c:orientation val="minMax"/>
        </c:scaling>
        <c:delete val="0"/>
        <c:axPos val="b"/>
        <c:majorTickMark val="out"/>
        <c:minorTickMark val="none"/>
        <c:tickLblPos val="nextTo"/>
        <c:crossAx val="161125120"/>
        <c:crosses val="autoZero"/>
        <c:auto val="1"/>
        <c:lblAlgn val="ctr"/>
        <c:lblOffset val="100"/>
        <c:noMultiLvlLbl val="0"/>
      </c:catAx>
      <c:valAx>
        <c:axId val="161125120"/>
        <c:scaling>
          <c:orientation val="minMax"/>
        </c:scaling>
        <c:delete val="0"/>
        <c:axPos val="l"/>
        <c:majorGridlines/>
        <c:numFmt formatCode="#,##0" sourceLinked="1"/>
        <c:majorTickMark val="out"/>
        <c:minorTickMark val="none"/>
        <c:tickLblPos val="nextTo"/>
        <c:crossAx val="161111040"/>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Measles</a:t>
            </a:r>
            <a:r>
              <a:rPr lang="en-US" baseline="0"/>
              <a:t> DALYs</a:t>
            </a:r>
          </a:p>
        </c:rich>
      </c:tx>
      <c:layout/>
      <c:overlay val="1"/>
    </c:title>
    <c:autoTitleDeleted val="0"/>
    <c:plotArea>
      <c:layout/>
      <c:barChart>
        <c:barDir val="col"/>
        <c:grouping val="clustered"/>
        <c:varyColors val="0"/>
        <c:ser>
          <c:idx val="0"/>
          <c:order val="0"/>
          <c:invertIfNegative val="0"/>
          <c:cat>
            <c:strRef>
              <c:f>'DALY collapsed'!$A$13:$A$18</c:f>
              <c:strCache>
                <c:ptCount val="6"/>
                <c:pt idx="0">
                  <c:v>Low income</c:v>
                </c:pt>
                <c:pt idx="1">
                  <c:v>Lower middle income</c:v>
                </c:pt>
                <c:pt idx="2">
                  <c:v>PINCIs</c:v>
                </c:pt>
                <c:pt idx="3">
                  <c:v>Upper middle income</c:v>
                </c:pt>
                <c:pt idx="4">
                  <c:v>Total MIC</c:v>
                </c:pt>
                <c:pt idx="5">
                  <c:v>High income</c:v>
                </c:pt>
              </c:strCache>
            </c:strRef>
          </c:cat>
          <c:val>
            <c:numRef>
              <c:f>'DALY collapsed'!$E$13:$E$18</c:f>
              <c:numCache>
                <c:formatCode>#,##0</c:formatCode>
                <c:ptCount val="6"/>
                <c:pt idx="0">
                  <c:v>2808.8892548191548</c:v>
                </c:pt>
                <c:pt idx="1">
                  <c:v>866.03226811531647</c:v>
                </c:pt>
                <c:pt idx="2">
                  <c:v>11112.150617187501</c:v>
                </c:pt>
                <c:pt idx="3">
                  <c:v>22.342988615084579</c:v>
                </c:pt>
                <c:pt idx="4">
                  <c:v>12000.525873917901</c:v>
                </c:pt>
                <c:pt idx="5">
                  <c:v>10.826922867014298</c:v>
                </c:pt>
              </c:numCache>
            </c:numRef>
          </c:val>
        </c:ser>
        <c:dLbls>
          <c:showLegendKey val="0"/>
          <c:showVal val="0"/>
          <c:showCatName val="0"/>
          <c:showSerName val="0"/>
          <c:showPercent val="0"/>
          <c:showBubbleSize val="0"/>
        </c:dLbls>
        <c:gapWidth val="150"/>
        <c:axId val="161141120"/>
        <c:axId val="161142656"/>
      </c:barChart>
      <c:catAx>
        <c:axId val="161141120"/>
        <c:scaling>
          <c:orientation val="minMax"/>
        </c:scaling>
        <c:delete val="0"/>
        <c:axPos val="b"/>
        <c:majorTickMark val="out"/>
        <c:minorTickMark val="none"/>
        <c:tickLblPos val="nextTo"/>
        <c:crossAx val="161142656"/>
        <c:crosses val="autoZero"/>
        <c:auto val="1"/>
        <c:lblAlgn val="ctr"/>
        <c:lblOffset val="100"/>
        <c:noMultiLvlLbl val="0"/>
      </c:catAx>
      <c:valAx>
        <c:axId val="161142656"/>
        <c:scaling>
          <c:orientation val="minMax"/>
        </c:scaling>
        <c:delete val="0"/>
        <c:axPos val="l"/>
        <c:majorGridlines/>
        <c:numFmt formatCode="#,##0" sourceLinked="1"/>
        <c:majorTickMark val="out"/>
        <c:minorTickMark val="none"/>
        <c:tickLblPos val="nextTo"/>
        <c:crossAx val="161141120"/>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VPD DALYs</a:t>
            </a:r>
          </a:p>
        </c:rich>
      </c:tx>
      <c:layout/>
      <c:overlay val="1"/>
    </c:title>
    <c:autoTitleDeleted val="0"/>
    <c:plotArea>
      <c:layout/>
      <c:barChart>
        <c:barDir val="col"/>
        <c:grouping val="clustered"/>
        <c:varyColors val="0"/>
        <c:ser>
          <c:idx val="0"/>
          <c:order val="0"/>
          <c:invertIfNegative val="0"/>
          <c:cat>
            <c:strRef>
              <c:f>'DALY collapsed'!$A$13:$A$18</c:f>
              <c:strCache>
                <c:ptCount val="6"/>
                <c:pt idx="0">
                  <c:v>Low income</c:v>
                </c:pt>
                <c:pt idx="1">
                  <c:v>Lower middle income</c:v>
                </c:pt>
                <c:pt idx="2">
                  <c:v>PINCIs</c:v>
                </c:pt>
                <c:pt idx="3">
                  <c:v>Upper middle income</c:v>
                </c:pt>
                <c:pt idx="4">
                  <c:v>Total MIC</c:v>
                </c:pt>
                <c:pt idx="5">
                  <c:v>High income</c:v>
                </c:pt>
              </c:strCache>
            </c:strRef>
          </c:cat>
          <c:val>
            <c:numRef>
              <c:f>'DALY collapsed'!$F$13:$F$18</c:f>
              <c:numCache>
                <c:formatCode>#,##0</c:formatCode>
                <c:ptCount val="6"/>
                <c:pt idx="0">
                  <c:v>7177.1979729766845</c:v>
                </c:pt>
                <c:pt idx="1">
                  <c:v>2285.9839547667498</c:v>
                </c:pt>
                <c:pt idx="2">
                  <c:v>20399.36978125</c:v>
                </c:pt>
                <c:pt idx="3">
                  <c:v>249.88146794176095</c:v>
                </c:pt>
                <c:pt idx="4">
                  <c:v>22935.235203958509</c:v>
                </c:pt>
                <c:pt idx="5">
                  <c:v>69.846905348598938</c:v>
                </c:pt>
              </c:numCache>
            </c:numRef>
          </c:val>
        </c:ser>
        <c:dLbls>
          <c:showLegendKey val="0"/>
          <c:showVal val="0"/>
          <c:showCatName val="0"/>
          <c:showSerName val="0"/>
          <c:showPercent val="0"/>
          <c:showBubbleSize val="0"/>
        </c:dLbls>
        <c:gapWidth val="150"/>
        <c:axId val="161629696"/>
        <c:axId val="161631232"/>
      </c:barChart>
      <c:catAx>
        <c:axId val="161629696"/>
        <c:scaling>
          <c:orientation val="minMax"/>
        </c:scaling>
        <c:delete val="0"/>
        <c:axPos val="b"/>
        <c:majorTickMark val="out"/>
        <c:minorTickMark val="none"/>
        <c:tickLblPos val="nextTo"/>
        <c:crossAx val="161631232"/>
        <c:crosses val="autoZero"/>
        <c:auto val="1"/>
        <c:lblAlgn val="ctr"/>
        <c:lblOffset val="100"/>
        <c:noMultiLvlLbl val="0"/>
      </c:catAx>
      <c:valAx>
        <c:axId val="161631232"/>
        <c:scaling>
          <c:orientation val="minMax"/>
        </c:scaling>
        <c:delete val="0"/>
        <c:axPos val="l"/>
        <c:majorGridlines/>
        <c:numFmt formatCode="#,##0" sourceLinked="1"/>
        <c:majorTickMark val="out"/>
        <c:minorTickMark val="none"/>
        <c:tickLblPos val="nextTo"/>
        <c:crossAx val="161629696"/>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Sheet1!$C$1</c:f>
              <c:strCache>
                <c:ptCount val="1"/>
                <c:pt idx="0">
                  <c:v>GDP</c:v>
                </c:pt>
              </c:strCache>
            </c:strRef>
          </c:tx>
          <c:spPr>
            <a:ln w="28575">
              <a:noFill/>
            </a:ln>
          </c:spPr>
          <c:dLbls>
            <c:dLbl>
              <c:idx val="0"/>
              <c:layout/>
              <c:tx>
                <c:rich>
                  <a:bodyPr/>
                  <a:lstStyle/>
                  <a:p>
                    <a:r>
                      <a:rPr lang="en-US"/>
                      <a:t>Armenia</a:t>
                    </a:r>
                  </a:p>
                </c:rich>
              </c:tx>
              <c:showLegendKey val="0"/>
              <c:showVal val="1"/>
              <c:showCatName val="0"/>
              <c:showSerName val="0"/>
              <c:showPercent val="0"/>
              <c:showBubbleSize val="0"/>
            </c:dLbl>
            <c:dLbl>
              <c:idx val="1"/>
              <c:layout/>
              <c:tx>
                <c:rich>
                  <a:bodyPr/>
                  <a:lstStyle/>
                  <a:p>
                    <a:r>
                      <a:rPr lang="en-US"/>
                      <a:t>Azerbaijan</a:t>
                    </a:r>
                  </a:p>
                </c:rich>
              </c:tx>
              <c:showLegendKey val="0"/>
              <c:showVal val="1"/>
              <c:showCatName val="0"/>
              <c:showSerName val="0"/>
              <c:showPercent val="0"/>
              <c:showBubbleSize val="0"/>
            </c:dLbl>
            <c:dLbl>
              <c:idx val="2"/>
              <c:layout/>
              <c:tx>
                <c:rich>
                  <a:bodyPr/>
                  <a:lstStyle/>
                  <a:p>
                    <a:r>
                      <a:rPr lang="en-US"/>
                      <a:t>Bangladesh</a:t>
                    </a:r>
                  </a:p>
                </c:rich>
              </c:tx>
              <c:showLegendKey val="0"/>
              <c:showVal val="1"/>
              <c:showCatName val="0"/>
              <c:showSerName val="0"/>
              <c:showPercent val="0"/>
              <c:showBubbleSize val="0"/>
            </c:dLbl>
            <c:dLbl>
              <c:idx val="3"/>
              <c:layout/>
              <c:tx>
                <c:rich>
                  <a:bodyPr/>
                  <a:lstStyle/>
                  <a:p>
                    <a:r>
                      <a:rPr lang="en-US"/>
                      <a:t>Benin</a:t>
                    </a:r>
                  </a:p>
                </c:rich>
              </c:tx>
              <c:showLegendKey val="0"/>
              <c:showVal val="1"/>
              <c:showCatName val="0"/>
              <c:showSerName val="0"/>
              <c:showPercent val="0"/>
              <c:showBubbleSize val="0"/>
            </c:dLbl>
            <c:dLbl>
              <c:idx val="4"/>
              <c:layout/>
              <c:tx>
                <c:rich>
                  <a:bodyPr/>
                  <a:lstStyle/>
                  <a:p>
                    <a:r>
                      <a:rPr lang="en-US"/>
                      <a:t>Bolivia (Plurinational State of)</a:t>
                    </a:r>
                  </a:p>
                </c:rich>
              </c:tx>
              <c:showLegendKey val="0"/>
              <c:showVal val="1"/>
              <c:showCatName val="0"/>
              <c:showSerName val="0"/>
              <c:showPercent val="0"/>
              <c:showBubbleSize val="0"/>
            </c:dLbl>
            <c:dLbl>
              <c:idx val="5"/>
              <c:layout/>
              <c:tx>
                <c:rich>
                  <a:bodyPr/>
                  <a:lstStyle/>
                  <a:p>
                    <a:r>
                      <a:rPr lang="en-US"/>
                      <a:t>Cambodia</a:t>
                    </a:r>
                  </a:p>
                </c:rich>
              </c:tx>
              <c:showLegendKey val="0"/>
              <c:showVal val="1"/>
              <c:showCatName val="0"/>
              <c:showSerName val="0"/>
              <c:showPercent val="0"/>
              <c:showBubbleSize val="0"/>
            </c:dLbl>
            <c:dLbl>
              <c:idx val="6"/>
              <c:layout/>
              <c:tx>
                <c:rich>
                  <a:bodyPr/>
                  <a:lstStyle/>
                  <a:p>
                    <a:r>
                      <a:rPr lang="en-US"/>
                      <a:t>Colombia</a:t>
                    </a:r>
                  </a:p>
                </c:rich>
              </c:tx>
              <c:showLegendKey val="0"/>
              <c:showVal val="1"/>
              <c:showCatName val="0"/>
              <c:showSerName val="0"/>
              <c:showPercent val="0"/>
              <c:showBubbleSize val="0"/>
            </c:dLbl>
            <c:dLbl>
              <c:idx val="7"/>
              <c:layout/>
              <c:tx>
                <c:rich>
                  <a:bodyPr/>
                  <a:lstStyle/>
                  <a:p>
                    <a:r>
                      <a:rPr lang="en-US"/>
                      <a:t>Congo</a:t>
                    </a:r>
                  </a:p>
                </c:rich>
              </c:tx>
              <c:showLegendKey val="0"/>
              <c:showVal val="1"/>
              <c:showCatName val="0"/>
              <c:showSerName val="0"/>
              <c:showPercent val="0"/>
              <c:showBubbleSize val="0"/>
            </c:dLbl>
            <c:dLbl>
              <c:idx val="8"/>
              <c:layout/>
              <c:tx>
                <c:rich>
                  <a:bodyPr/>
                  <a:lstStyle/>
                  <a:p>
                    <a:r>
                      <a:rPr lang="en-US"/>
                      <a:t>Democratic Republic of the Congo</a:t>
                    </a:r>
                  </a:p>
                </c:rich>
              </c:tx>
              <c:showLegendKey val="0"/>
              <c:showVal val="1"/>
              <c:showCatName val="0"/>
              <c:showSerName val="0"/>
              <c:showPercent val="0"/>
              <c:showBubbleSize val="0"/>
            </c:dLbl>
            <c:dLbl>
              <c:idx val="9"/>
              <c:layout/>
              <c:tx>
                <c:rich>
                  <a:bodyPr/>
                  <a:lstStyle/>
                  <a:p>
                    <a:r>
                      <a:rPr lang="en-US"/>
                      <a:t>Dominican Republic</a:t>
                    </a:r>
                  </a:p>
                </c:rich>
              </c:tx>
              <c:showLegendKey val="0"/>
              <c:showVal val="1"/>
              <c:showCatName val="0"/>
              <c:showSerName val="0"/>
              <c:showPercent val="0"/>
              <c:showBubbleSize val="0"/>
            </c:dLbl>
            <c:dLbl>
              <c:idx val="10"/>
              <c:layout/>
              <c:tx>
                <c:rich>
                  <a:bodyPr/>
                  <a:lstStyle/>
                  <a:p>
                    <a:r>
                      <a:rPr lang="en-US"/>
                      <a:t>Egypt</a:t>
                    </a:r>
                  </a:p>
                </c:rich>
              </c:tx>
              <c:showLegendKey val="0"/>
              <c:showVal val="1"/>
              <c:showCatName val="0"/>
              <c:showSerName val="0"/>
              <c:showPercent val="0"/>
              <c:showBubbleSize val="0"/>
            </c:dLbl>
            <c:dLbl>
              <c:idx val="11"/>
              <c:layout/>
              <c:tx>
                <c:rich>
                  <a:bodyPr/>
                  <a:lstStyle/>
                  <a:p>
                    <a:r>
                      <a:rPr lang="en-US"/>
                      <a:t>Ethiopia</a:t>
                    </a:r>
                  </a:p>
                </c:rich>
              </c:tx>
              <c:showLegendKey val="0"/>
              <c:showVal val="1"/>
              <c:showCatName val="0"/>
              <c:showSerName val="0"/>
              <c:showPercent val="0"/>
              <c:showBubbleSize val="0"/>
            </c:dLbl>
            <c:dLbl>
              <c:idx val="12"/>
              <c:layout/>
              <c:tx>
                <c:rich>
                  <a:bodyPr/>
                  <a:lstStyle/>
                  <a:p>
                    <a:r>
                      <a:rPr lang="en-US"/>
                      <a:t>Ghana</a:t>
                    </a:r>
                  </a:p>
                </c:rich>
              </c:tx>
              <c:showLegendKey val="0"/>
              <c:showVal val="1"/>
              <c:showCatName val="0"/>
              <c:showSerName val="0"/>
              <c:showPercent val="0"/>
              <c:showBubbleSize val="0"/>
            </c:dLbl>
            <c:dLbl>
              <c:idx val="13"/>
              <c:layout/>
              <c:tx>
                <c:rich>
                  <a:bodyPr/>
                  <a:lstStyle/>
                  <a:p>
                    <a:r>
                      <a:rPr lang="en-US"/>
                      <a:t>Guinea</a:t>
                    </a:r>
                  </a:p>
                </c:rich>
              </c:tx>
              <c:showLegendKey val="0"/>
              <c:showVal val="1"/>
              <c:showCatName val="0"/>
              <c:showSerName val="0"/>
              <c:showPercent val="0"/>
              <c:showBubbleSize val="0"/>
            </c:dLbl>
            <c:dLbl>
              <c:idx val="14"/>
              <c:layout/>
              <c:tx>
                <c:rich>
                  <a:bodyPr/>
                  <a:lstStyle/>
                  <a:p>
                    <a:r>
                      <a:rPr lang="en-US"/>
                      <a:t>Haiti</a:t>
                    </a:r>
                  </a:p>
                </c:rich>
              </c:tx>
              <c:showLegendKey val="0"/>
              <c:showVal val="1"/>
              <c:showCatName val="0"/>
              <c:showSerName val="0"/>
              <c:showPercent val="0"/>
              <c:showBubbleSize val="0"/>
            </c:dLbl>
            <c:dLbl>
              <c:idx val="15"/>
              <c:layout/>
              <c:tx>
                <c:rich>
                  <a:bodyPr/>
                  <a:lstStyle/>
                  <a:p>
                    <a:r>
                      <a:rPr lang="en-US"/>
                      <a:t>Honduras</a:t>
                    </a:r>
                  </a:p>
                </c:rich>
              </c:tx>
              <c:showLegendKey val="0"/>
              <c:showVal val="1"/>
              <c:showCatName val="0"/>
              <c:showSerName val="0"/>
              <c:showPercent val="0"/>
              <c:showBubbleSize val="0"/>
            </c:dLbl>
            <c:dLbl>
              <c:idx val="16"/>
              <c:layout/>
              <c:tx>
                <c:rich>
                  <a:bodyPr/>
                  <a:lstStyle/>
                  <a:p>
                    <a:r>
                      <a:rPr lang="en-US"/>
                      <a:t>India</a:t>
                    </a:r>
                  </a:p>
                </c:rich>
              </c:tx>
              <c:showLegendKey val="0"/>
              <c:showVal val="1"/>
              <c:showCatName val="0"/>
              <c:showSerName val="0"/>
              <c:showPercent val="0"/>
              <c:showBubbleSize val="0"/>
            </c:dLbl>
            <c:dLbl>
              <c:idx val="17"/>
              <c:layout/>
              <c:tx>
                <c:rich>
                  <a:bodyPr/>
                  <a:lstStyle/>
                  <a:p>
                    <a:r>
                      <a:rPr lang="en-US"/>
                      <a:t>Indonesia</a:t>
                    </a:r>
                  </a:p>
                </c:rich>
              </c:tx>
              <c:showLegendKey val="0"/>
              <c:showVal val="1"/>
              <c:showCatName val="0"/>
              <c:showSerName val="0"/>
              <c:showPercent val="0"/>
              <c:showBubbleSize val="0"/>
            </c:dLbl>
            <c:dLbl>
              <c:idx val="18"/>
              <c:layout/>
              <c:tx>
                <c:rich>
                  <a:bodyPr/>
                  <a:lstStyle/>
                  <a:p>
                    <a:r>
                      <a:rPr lang="en-US"/>
                      <a:t>Jordan</a:t>
                    </a:r>
                  </a:p>
                </c:rich>
              </c:tx>
              <c:showLegendKey val="0"/>
              <c:showVal val="1"/>
              <c:showCatName val="0"/>
              <c:showSerName val="0"/>
              <c:showPercent val="0"/>
              <c:showBubbleSize val="0"/>
            </c:dLbl>
            <c:dLbl>
              <c:idx val="19"/>
              <c:layout/>
              <c:tx>
                <c:rich>
                  <a:bodyPr/>
                  <a:lstStyle/>
                  <a:p>
                    <a:r>
                      <a:rPr lang="en-US"/>
                      <a:t>Kenya</a:t>
                    </a:r>
                  </a:p>
                </c:rich>
              </c:tx>
              <c:showLegendKey val="0"/>
              <c:showVal val="1"/>
              <c:showCatName val="0"/>
              <c:showSerName val="0"/>
              <c:showPercent val="0"/>
              <c:showBubbleSize val="0"/>
            </c:dLbl>
            <c:dLbl>
              <c:idx val="20"/>
              <c:layout/>
              <c:tx>
                <c:rich>
                  <a:bodyPr/>
                  <a:lstStyle/>
                  <a:p>
                    <a:r>
                      <a:rPr lang="en-US"/>
                      <a:t>Liberia</a:t>
                    </a:r>
                  </a:p>
                </c:rich>
              </c:tx>
              <c:showLegendKey val="0"/>
              <c:showVal val="1"/>
              <c:showCatName val="0"/>
              <c:showSerName val="0"/>
              <c:showPercent val="0"/>
              <c:showBubbleSize val="0"/>
            </c:dLbl>
            <c:dLbl>
              <c:idx val="21"/>
              <c:layout/>
              <c:tx>
                <c:rich>
                  <a:bodyPr/>
                  <a:lstStyle/>
                  <a:p>
                    <a:r>
                      <a:rPr lang="en-US"/>
                      <a:t>Madagascar</a:t>
                    </a:r>
                  </a:p>
                </c:rich>
              </c:tx>
              <c:showLegendKey val="0"/>
              <c:showVal val="1"/>
              <c:showCatName val="0"/>
              <c:showSerName val="0"/>
              <c:showPercent val="0"/>
              <c:showBubbleSize val="0"/>
            </c:dLbl>
            <c:dLbl>
              <c:idx val="22"/>
              <c:layout/>
              <c:tx>
                <c:rich>
                  <a:bodyPr/>
                  <a:lstStyle/>
                  <a:p>
                    <a:r>
                      <a:rPr lang="en-US"/>
                      <a:t>Maldives</a:t>
                    </a:r>
                  </a:p>
                </c:rich>
              </c:tx>
              <c:showLegendKey val="0"/>
              <c:showVal val="1"/>
              <c:showCatName val="0"/>
              <c:showSerName val="0"/>
              <c:showPercent val="0"/>
              <c:showBubbleSize val="0"/>
            </c:dLbl>
            <c:dLbl>
              <c:idx val="23"/>
              <c:layout/>
              <c:tx>
                <c:rich>
                  <a:bodyPr/>
                  <a:lstStyle/>
                  <a:p>
                    <a:r>
                      <a:rPr lang="en-US"/>
                      <a:t>Mali</a:t>
                    </a:r>
                  </a:p>
                </c:rich>
              </c:tx>
              <c:showLegendKey val="0"/>
              <c:showVal val="1"/>
              <c:showCatName val="0"/>
              <c:showSerName val="0"/>
              <c:showPercent val="0"/>
              <c:showBubbleSize val="0"/>
            </c:dLbl>
            <c:dLbl>
              <c:idx val="24"/>
              <c:layout/>
              <c:tx>
                <c:rich>
                  <a:bodyPr/>
                  <a:lstStyle/>
                  <a:p>
                    <a:r>
                      <a:rPr lang="en-US"/>
                      <a:t>Morocco</a:t>
                    </a:r>
                  </a:p>
                </c:rich>
              </c:tx>
              <c:showLegendKey val="0"/>
              <c:showVal val="1"/>
              <c:showCatName val="0"/>
              <c:showSerName val="0"/>
              <c:showPercent val="0"/>
              <c:showBubbleSize val="0"/>
            </c:dLbl>
            <c:dLbl>
              <c:idx val="25"/>
              <c:layout/>
              <c:tx>
                <c:rich>
                  <a:bodyPr/>
                  <a:lstStyle/>
                  <a:p>
                    <a:r>
                      <a:rPr lang="en-US"/>
                      <a:t>Namibia</a:t>
                    </a:r>
                  </a:p>
                </c:rich>
              </c:tx>
              <c:showLegendKey val="0"/>
              <c:showVal val="1"/>
              <c:showCatName val="0"/>
              <c:showSerName val="0"/>
              <c:showPercent val="0"/>
              <c:showBubbleSize val="0"/>
            </c:dLbl>
            <c:dLbl>
              <c:idx val="26"/>
              <c:layout/>
              <c:tx>
                <c:rich>
                  <a:bodyPr/>
                  <a:lstStyle/>
                  <a:p>
                    <a:r>
                      <a:rPr lang="en-US"/>
                      <a:t>Nepal</a:t>
                    </a:r>
                  </a:p>
                </c:rich>
              </c:tx>
              <c:showLegendKey val="0"/>
              <c:showVal val="1"/>
              <c:showCatName val="0"/>
              <c:showSerName val="0"/>
              <c:showPercent val="0"/>
              <c:showBubbleSize val="0"/>
            </c:dLbl>
            <c:dLbl>
              <c:idx val="27"/>
              <c:layout/>
              <c:tx>
                <c:rich>
                  <a:bodyPr/>
                  <a:lstStyle/>
                  <a:p>
                    <a:r>
                      <a:rPr lang="en-US"/>
                      <a:t>Niger</a:t>
                    </a:r>
                  </a:p>
                </c:rich>
              </c:tx>
              <c:showLegendKey val="0"/>
              <c:showVal val="1"/>
              <c:showCatName val="0"/>
              <c:showSerName val="0"/>
              <c:showPercent val="0"/>
              <c:showBubbleSize val="0"/>
            </c:dLbl>
            <c:dLbl>
              <c:idx val="28"/>
              <c:layout/>
              <c:tx>
                <c:rich>
                  <a:bodyPr/>
                  <a:lstStyle/>
                  <a:p>
                    <a:r>
                      <a:rPr lang="en-US"/>
                      <a:t>Nigeria</a:t>
                    </a:r>
                  </a:p>
                </c:rich>
              </c:tx>
              <c:showLegendKey val="0"/>
              <c:showVal val="1"/>
              <c:showCatName val="0"/>
              <c:showSerName val="0"/>
              <c:showPercent val="0"/>
              <c:showBubbleSize val="0"/>
            </c:dLbl>
            <c:dLbl>
              <c:idx val="29"/>
              <c:layout/>
              <c:tx>
                <c:rich>
                  <a:bodyPr/>
                  <a:lstStyle/>
                  <a:p>
                    <a:r>
                      <a:rPr lang="en-US"/>
                      <a:t>Pakistan</a:t>
                    </a:r>
                  </a:p>
                </c:rich>
              </c:tx>
              <c:showLegendKey val="0"/>
              <c:showVal val="1"/>
              <c:showCatName val="0"/>
              <c:showSerName val="0"/>
              <c:showPercent val="0"/>
              <c:showBubbleSize val="0"/>
            </c:dLbl>
            <c:dLbl>
              <c:idx val="30"/>
              <c:layout/>
              <c:tx>
                <c:rich>
                  <a:bodyPr/>
                  <a:lstStyle/>
                  <a:p>
                    <a:r>
                      <a:rPr lang="en-US"/>
                      <a:t>Philippines</a:t>
                    </a:r>
                  </a:p>
                </c:rich>
              </c:tx>
              <c:showLegendKey val="0"/>
              <c:showVal val="1"/>
              <c:showCatName val="0"/>
              <c:showSerName val="0"/>
              <c:showPercent val="0"/>
              <c:showBubbleSize val="0"/>
            </c:dLbl>
            <c:dLbl>
              <c:idx val="31"/>
              <c:layout/>
              <c:tx>
                <c:rich>
                  <a:bodyPr/>
                  <a:lstStyle/>
                  <a:p>
                    <a:r>
                      <a:rPr lang="en-US"/>
                      <a:t>Republic of Moldova</a:t>
                    </a:r>
                  </a:p>
                </c:rich>
              </c:tx>
              <c:showLegendKey val="0"/>
              <c:showVal val="1"/>
              <c:showCatName val="0"/>
              <c:showSerName val="0"/>
              <c:showPercent val="0"/>
              <c:showBubbleSize val="0"/>
            </c:dLbl>
            <c:dLbl>
              <c:idx val="32"/>
              <c:layout/>
              <c:tx>
                <c:rich>
                  <a:bodyPr/>
                  <a:lstStyle/>
                  <a:p>
                    <a:r>
                      <a:rPr lang="en-US"/>
                      <a:t>Rwanda</a:t>
                    </a:r>
                  </a:p>
                </c:rich>
              </c:tx>
              <c:showLegendKey val="0"/>
              <c:showVal val="1"/>
              <c:showCatName val="0"/>
              <c:showSerName val="0"/>
              <c:showPercent val="0"/>
              <c:showBubbleSize val="0"/>
            </c:dLbl>
            <c:dLbl>
              <c:idx val="33"/>
              <c:layout/>
              <c:tx>
                <c:rich>
                  <a:bodyPr/>
                  <a:lstStyle/>
                  <a:p>
                    <a:r>
                      <a:rPr lang="en-US"/>
                      <a:t>Senegal</a:t>
                    </a:r>
                  </a:p>
                </c:rich>
              </c:tx>
              <c:showLegendKey val="0"/>
              <c:showVal val="1"/>
              <c:showCatName val="0"/>
              <c:showSerName val="0"/>
              <c:showPercent val="0"/>
              <c:showBubbleSize val="0"/>
            </c:dLbl>
            <c:dLbl>
              <c:idx val="34"/>
              <c:layout/>
              <c:tx>
                <c:rich>
                  <a:bodyPr/>
                  <a:lstStyle/>
                  <a:p>
                    <a:r>
                      <a:rPr lang="en-US"/>
                      <a:t>Sierra Leone</a:t>
                    </a:r>
                  </a:p>
                </c:rich>
              </c:tx>
              <c:showLegendKey val="0"/>
              <c:showVal val="1"/>
              <c:showCatName val="0"/>
              <c:showSerName val="0"/>
              <c:showPercent val="0"/>
              <c:showBubbleSize val="0"/>
            </c:dLbl>
            <c:dLbl>
              <c:idx val="35"/>
              <c:layout/>
              <c:tx>
                <c:rich>
                  <a:bodyPr/>
                  <a:lstStyle/>
                  <a:p>
                    <a:r>
                      <a:rPr lang="en-US"/>
                      <a:t>Swaziland</a:t>
                    </a:r>
                  </a:p>
                </c:rich>
              </c:tx>
              <c:showLegendKey val="0"/>
              <c:showVal val="1"/>
              <c:showCatName val="0"/>
              <c:showSerName val="0"/>
              <c:showPercent val="0"/>
              <c:showBubbleSize val="0"/>
            </c:dLbl>
            <c:dLbl>
              <c:idx val="36"/>
              <c:layout/>
              <c:tx>
                <c:rich>
                  <a:bodyPr/>
                  <a:lstStyle/>
                  <a:p>
                    <a:r>
                      <a:rPr lang="en-US"/>
                      <a:t>Timor-Leste</a:t>
                    </a:r>
                  </a:p>
                </c:rich>
              </c:tx>
              <c:showLegendKey val="0"/>
              <c:showVal val="1"/>
              <c:showCatName val="0"/>
              <c:showSerName val="0"/>
              <c:showPercent val="0"/>
              <c:showBubbleSize val="0"/>
            </c:dLbl>
            <c:dLbl>
              <c:idx val="37"/>
              <c:layout/>
              <c:tx>
                <c:rich>
                  <a:bodyPr/>
                  <a:lstStyle/>
                  <a:p>
                    <a:r>
                      <a:rPr lang="en-US"/>
                      <a:t>Uganda</a:t>
                    </a:r>
                  </a:p>
                </c:rich>
              </c:tx>
              <c:showLegendKey val="0"/>
              <c:showVal val="1"/>
              <c:showCatName val="0"/>
              <c:showSerName val="0"/>
              <c:showPercent val="0"/>
              <c:showBubbleSize val="0"/>
            </c:dLbl>
            <c:dLbl>
              <c:idx val="38"/>
              <c:layout/>
              <c:tx>
                <c:rich>
                  <a:bodyPr/>
                  <a:lstStyle/>
                  <a:p>
                    <a:r>
                      <a:rPr lang="en-US"/>
                      <a:t>Zambia</a:t>
                    </a:r>
                  </a:p>
                </c:rich>
              </c:tx>
              <c:showLegendKey val="0"/>
              <c:showVal val="1"/>
              <c:showCatName val="0"/>
              <c:showSerName val="0"/>
              <c:showPercent val="0"/>
              <c:showBubbleSize val="0"/>
            </c:dLbl>
            <c:dLbl>
              <c:idx val="39"/>
              <c:layout/>
              <c:tx>
                <c:rich>
                  <a:bodyPr/>
                  <a:lstStyle/>
                  <a:p>
                    <a:r>
                      <a:rPr lang="en-US"/>
                      <a:t>Zimbabwe</a:t>
                    </a:r>
                  </a:p>
                </c:rich>
              </c:tx>
              <c:showLegendKey val="0"/>
              <c:showVal val="1"/>
              <c:showCatName val="0"/>
              <c:showSerName val="0"/>
              <c:showPercent val="0"/>
              <c:showBubbleSize val="0"/>
            </c:dLbl>
            <c:showLegendKey val="0"/>
            <c:showVal val="0"/>
            <c:showCatName val="0"/>
            <c:showSerName val="0"/>
            <c:showPercent val="0"/>
            <c:showBubbleSize val="0"/>
          </c:dLbls>
          <c:xVal>
            <c:numRef>
              <c:f>Sheet1!$B$2:$B$41</c:f>
              <c:numCache>
                <c:formatCode>General</c:formatCode>
                <c:ptCount val="40"/>
                <c:pt idx="0">
                  <c:v>0.71299999999999997</c:v>
                </c:pt>
                <c:pt idx="1">
                  <c:v>0.65900000000000003</c:v>
                </c:pt>
                <c:pt idx="2">
                  <c:v>0.56100000000000005</c:v>
                </c:pt>
                <c:pt idx="3">
                  <c:v>0.52100000000000002</c:v>
                </c:pt>
                <c:pt idx="4">
                  <c:v>0.70000000000000007</c:v>
                </c:pt>
                <c:pt idx="5">
                  <c:v>0.61299999999999999</c:v>
                </c:pt>
                <c:pt idx="6">
                  <c:v>0.78500000000000003</c:v>
                </c:pt>
                <c:pt idx="7">
                  <c:v>0.51900000000000002</c:v>
                </c:pt>
                <c:pt idx="8">
                  <c:v>0.20399999999999999</c:v>
                </c:pt>
                <c:pt idx="9">
                  <c:v>0.53800000000000003</c:v>
                </c:pt>
                <c:pt idx="10">
                  <c:v>0.68</c:v>
                </c:pt>
                <c:pt idx="11">
                  <c:v>0.251</c:v>
                </c:pt>
                <c:pt idx="12">
                  <c:v>0.82000000000000006</c:v>
                </c:pt>
                <c:pt idx="13">
                  <c:v>0.40299999999999997</c:v>
                </c:pt>
                <c:pt idx="14">
                  <c:v>0.48700000000000004</c:v>
                </c:pt>
                <c:pt idx="15">
                  <c:v>0.82200000000000006</c:v>
                </c:pt>
                <c:pt idx="16">
                  <c:v>0.32600000000000001</c:v>
                </c:pt>
                <c:pt idx="17">
                  <c:v>0.312</c:v>
                </c:pt>
                <c:pt idx="18">
                  <c:v>0.88800000000000001</c:v>
                </c:pt>
                <c:pt idx="19">
                  <c:v>0.66400000000000003</c:v>
                </c:pt>
                <c:pt idx="20">
                  <c:v>0.36899999999999999</c:v>
                </c:pt>
                <c:pt idx="21">
                  <c:v>0.54600000000000004</c:v>
                </c:pt>
                <c:pt idx="22">
                  <c:v>0.88600000000000001</c:v>
                </c:pt>
                <c:pt idx="23">
                  <c:v>0.52600000000000002</c:v>
                </c:pt>
                <c:pt idx="24">
                  <c:v>0.75600000000000001</c:v>
                </c:pt>
                <c:pt idx="25">
                  <c:v>0.68200000000000005</c:v>
                </c:pt>
                <c:pt idx="26">
                  <c:v>0.313</c:v>
                </c:pt>
                <c:pt idx="27">
                  <c:v>0.32400000000000001</c:v>
                </c:pt>
                <c:pt idx="28">
                  <c:v>0.20199999999999999</c:v>
                </c:pt>
                <c:pt idx="29">
                  <c:v>0.20899999999999999</c:v>
                </c:pt>
                <c:pt idx="30">
                  <c:v>0.40899999999999997</c:v>
                </c:pt>
                <c:pt idx="31">
                  <c:v>9.8000000000000004E-2</c:v>
                </c:pt>
                <c:pt idx="32">
                  <c:v>0.66099999999999992</c:v>
                </c:pt>
                <c:pt idx="33">
                  <c:v>0.61299999999999999</c:v>
                </c:pt>
                <c:pt idx="34">
                  <c:v>0.45500000000000002</c:v>
                </c:pt>
                <c:pt idx="35">
                  <c:v>0.82400000000000007</c:v>
                </c:pt>
                <c:pt idx="36">
                  <c:v>0.47000000000000003</c:v>
                </c:pt>
                <c:pt idx="37">
                  <c:v>2.2000000000000002E-2</c:v>
                </c:pt>
                <c:pt idx="38">
                  <c:v>0.66900000000000004</c:v>
                </c:pt>
                <c:pt idx="39">
                  <c:v>0.58700000000000008</c:v>
                </c:pt>
              </c:numCache>
            </c:numRef>
          </c:xVal>
          <c:yVal>
            <c:numRef>
              <c:f>Sheet1!$C$2:$C$41</c:f>
              <c:numCache>
                <c:formatCode>0.00</c:formatCode>
                <c:ptCount val="40"/>
                <c:pt idx="0">
                  <c:v>2614.7020000000002</c:v>
                </c:pt>
                <c:pt idx="1">
                  <c:v>4798.2349999999997</c:v>
                </c:pt>
                <c:pt idx="2">
                  <c:v>583.97299999999996</c:v>
                </c:pt>
                <c:pt idx="3">
                  <c:v>709.82399999999996</c:v>
                </c:pt>
                <c:pt idx="4">
                  <c:v>1707.624</c:v>
                </c:pt>
                <c:pt idx="5">
                  <c:v>768.36599999999999</c:v>
                </c:pt>
                <c:pt idx="6">
                  <c:v>5153.5039999999999</c:v>
                </c:pt>
                <c:pt idx="7">
                  <c:v>2557.306</c:v>
                </c:pt>
                <c:pt idx="8">
                  <c:v>162.38499999999999</c:v>
                </c:pt>
                <c:pt idx="9">
                  <c:v>4815.8</c:v>
                </c:pt>
                <c:pt idx="10">
                  <c:v>2455.8270000000002</c:v>
                </c:pt>
                <c:pt idx="11">
                  <c:v>389.42899999999997</c:v>
                </c:pt>
                <c:pt idx="12">
                  <c:v>1124.655</c:v>
                </c:pt>
                <c:pt idx="13">
                  <c:v>451.47</c:v>
                </c:pt>
                <c:pt idx="14">
                  <c:v>668.55899999999997</c:v>
                </c:pt>
                <c:pt idx="15">
                  <c:v>1891.57</c:v>
                </c:pt>
                <c:pt idx="16">
                  <c:v>1058.2260000000001</c:v>
                </c:pt>
                <c:pt idx="17">
                  <c:v>2327.2600000000002</c:v>
                </c:pt>
                <c:pt idx="18">
                  <c:v>4199.4979999999996</c:v>
                </c:pt>
                <c:pt idx="19">
                  <c:v>761.50300000000004</c:v>
                </c:pt>
                <c:pt idx="20">
                  <c:v>212.69</c:v>
                </c:pt>
                <c:pt idx="21">
                  <c:v>413.875</c:v>
                </c:pt>
                <c:pt idx="22">
                  <c:v>5499.4889999999996</c:v>
                </c:pt>
                <c:pt idx="23">
                  <c:v>690.82299999999998</c:v>
                </c:pt>
                <c:pt idx="24">
                  <c:v>2899.46</c:v>
                </c:pt>
                <c:pt idx="25">
                  <c:v>4477.5889999999999</c:v>
                </c:pt>
                <c:pt idx="26">
                  <c:v>461.95100000000002</c:v>
                </c:pt>
                <c:pt idx="27">
                  <c:v>371.56700000000001</c:v>
                </c:pt>
                <c:pt idx="28">
                  <c:v>1111.7470000000001</c:v>
                </c:pt>
                <c:pt idx="29">
                  <c:v>989.25300000000004</c:v>
                </c:pt>
                <c:pt idx="30">
                  <c:v>1747.8230000000001</c:v>
                </c:pt>
                <c:pt idx="31">
                  <c:v>1524.232</c:v>
                </c:pt>
                <c:pt idx="32">
                  <c:v>532.64099999999996</c:v>
                </c:pt>
                <c:pt idx="33">
                  <c:v>997.60799999999995</c:v>
                </c:pt>
                <c:pt idx="34">
                  <c:v>325.66300000000001</c:v>
                </c:pt>
                <c:pt idx="35">
                  <c:v>2541.86</c:v>
                </c:pt>
                <c:pt idx="36">
                  <c:v>533.54</c:v>
                </c:pt>
                <c:pt idx="37">
                  <c:v>481.86399999999998</c:v>
                </c:pt>
                <c:pt idx="38">
                  <c:v>989.952</c:v>
                </c:pt>
                <c:pt idx="39">
                  <c:v>464.101</c:v>
                </c:pt>
              </c:numCache>
            </c:numRef>
          </c:yVal>
          <c:smooth val="0"/>
        </c:ser>
        <c:dLbls>
          <c:showLegendKey val="0"/>
          <c:showVal val="0"/>
          <c:showCatName val="0"/>
          <c:showSerName val="0"/>
          <c:showPercent val="0"/>
          <c:showBubbleSize val="0"/>
        </c:dLbls>
        <c:axId val="103099392"/>
        <c:axId val="103297792"/>
      </c:scatterChart>
      <c:valAx>
        <c:axId val="103099392"/>
        <c:scaling>
          <c:orientation val="minMax"/>
        </c:scaling>
        <c:delete val="0"/>
        <c:axPos val="b"/>
        <c:numFmt formatCode="General" sourceLinked="1"/>
        <c:majorTickMark val="out"/>
        <c:minorTickMark val="none"/>
        <c:tickLblPos val="nextTo"/>
        <c:crossAx val="103297792"/>
        <c:crosses val="autoZero"/>
        <c:crossBetween val="midCat"/>
      </c:valAx>
      <c:valAx>
        <c:axId val="103297792"/>
        <c:scaling>
          <c:orientation val="minMax"/>
        </c:scaling>
        <c:delete val="0"/>
        <c:axPos val="l"/>
        <c:majorGridlines/>
        <c:numFmt formatCode="0.00" sourceLinked="1"/>
        <c:majorTickMark val="out"/>
        <c:minorTickMark val="none"/>
        <c:tickLblPos val="nextTo"/>
        <c:crossAx val="103099392"/>
        <c:crosses val="autoZero"/>
        <c:crossBetween val="midCat"/>
      </c:valAx>
    </c:plotArea>
    <c:legend>
      <c:legendPos val="r"/>
      <c:layout/>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'unvacc-hiv-tb'!$D$4</c:f>
              <c:strCache>
                <c:ptCount val="1"/>
                <c:pt idx="0">
                  <c:v>1990</c:v>
                </c:pt>
              </c:strCache>
            </c:strRef>
          </c:tx>
          <c:invertIfNegative val="0"/>
          <c:cat>
            <c:strRef>
              <c:f>'unvacc-hiv-tb'!$C$5:$C$10</c:f>
              <c:strCache>
                <c:ptCount val="6"/>
                <c:pt idx="0">
                  <c:v>Low income</c:v>
                </c:pt>
                <c:pt idx="1">
                  <c:v>Lower middle income</c:v>
                </c:pt>
                <c:pt idx="2">
                  <c:v>PINCIs</c:v>
                </c:pt>
                <c:pt idx="3">
                  <c:v>Upper middle income</c:v>
                </c:pt>
                <c:pt idx="4">
                  <c:v>Total MIC</c:v>
                </c:pt>
                <c:pt idx="5">
                  <c:v>High income</c:v>
                </c:pt>
              </c:strCache>
            </c:strRef>
          </c:cat>
          <c:val>
            <c:numRef>
              <c:f>'unvacc-hiv-tb'!$D$5:$D$10</c:f>
              <c:numCache>
                <c:formatCode>#,##0</c:formatCode>
                <c:ptCount val="6"/>
                <c:pt idx="0">
                  <c:v>3493600</c:v>
                </c:pt>
                <c:pt idx="1">
                  <c:v>1096900</c:v>
                </c:pt>
                <c:pt idx="2">
                  <c:v>3092200</c:v>
                </c:pt>
                <c:pt idx="3">
                  <c:v>868000</c:v>
                </c:pt>
                <c:pt idx="4">
                  <c:v>5057100</c:v>
                </c:pt>
                <c:pt idx="5">
                  <c:v>1239700</c:v>
                </c:pt>
              </c:numCache>
            </c:numRef>
          </c:val>
        </c:ser>
        <c:ser>
          <c:idx val="1"/>
          <c:order val="1"/>
          <c:tx>
            <c:strRef>
              <c:f>'unvacc-hiv-tb'!$E$4</c:f>
              <c:strCache>
                <c:ptCount val="1"/>
                <c:pt idx="0">
                  <c:v>2009</c:v>
                </c:pt>
              </c:strCache>
            </c:strRef>
          </c:tx>
          <c:invertIfNegative val="0"/>
          <c:cat>
            <c:strRef>
              <c:f>'unvacc-hiv-tb'!$C$5:$C$10</c:f>
              <c:strCache>
                <c:ptCount val="6"/>
                <c:pt idx="0">
                  <c:v>Low income</c:v>
                </c:pt>
                <c:pt idx="1">
                  <c:v>Lower middle income</c:v>
                </c:pt>
                <c:pt idx="2">
                  <c:v>PINCIs</c:v>
                </c:pt>
                <c:pt idx="3">
                  <c:v>Upper middle income</c:v>
                </c:pt>
                <c:pt idx="4">
                  <c:v>Total MIC</c:v>
                </c:pt>
                <c:pt idx="5">
                  <c:v>High income</c:v>
                </c:pt>
              </c:strCache>
            </c:strRef>
          </c:cat>
          <c:val>
            <c:numRef>
              <c:f>'unvacc-hiv-tb'!$E$5:$E$10</c:f>
              <c:numCache>
                <c:formatCode>#,##0</c:formatCode>
                <c:ptCount val="6"/>
                <c:pt idx="0">
                  <c:v>9537700</c:v>
                </c:pt>
                <c:pt idx="1">
                  <c:v>3890500</c:v>
                </c:pt>
                <c:pt idx="2">
                  <c:v>6848000</c:v>
                </c:pt>
                <c:pt idx="3">
                  <c:v>8735100</c:v>
                </c:pt>
                <c:pt idx="4">
                  <c:v>19473600</c:v>
                </c:pt>
                <c:pt idx="5">
                  <c:v>2012600</c:v>
                </c:pt>
              </c:numCache>
            </c:numRef>
          </c:val>
        </c:ser>
        <c:dLbls>
          <c:showLegendKey val="0"/>
          <c:showVal val="0"/>
          <c:showCatName val="0"/>
          <c:showSerName val="0"/>
          <c:showPercent val="0"/>
          <c:showBubbleSize val="0"/>
        </c:dLbls>
        <c:gapWidth val="150"/>
        <c:axId val="154976256"/>
        <c:axId val="154977792"/>
      </c:barChart>
      <c:catAx>
        <c:axId val="154976256"/>
        <c:scaling>
          <c:orientation val="minMax"/>
        </c:scaling>
        <c:delete val="0"/>
        <c:axPos val="b"/>
        <c:majorTickMark val="out"/>
        <c:minorTickMark val="none"/>
        <c:tickLblPos val="nextTo"/>
        <c:crossAx val="154977792"/>
        <c:crosses val="autoZero"/>
        <c:auto val="1"/>
        <c:lblAlgn val="ctr"/>
        <c:lblOffset val="100"/>
        <c:noMultiLvlLbl val="0"/>
      </c:catAx>
      <c:valAx>
        <c:axId val="154977792"/>
        <c:scaling>
          <c:orientation val="minMax"/>
        </c:scaling>
        <c:delete val="0"/>
        <c:axPos val="l"/>
        <c:majorGridlines/>
        <c:numFmt formatCode="#,##0" sourceLinked="1"/>
        <c:majorTickMark val="out"/>
        <c:minorTickMark val="none"/>
        <c:tickLblPos val="nextTo"/>
        <c:crossAx val="1549762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Sheet1!$E$3</c:f>
              <c:strCache>
                <c:ptCount val="1"/>
                <c:pt idx="0">
                  <c:v>GDP</c:v>
                </c:pt>
              </c:strCache>
            </c:strRef>
          </c:tx>
          <c:spPr>
            <a:ln w="28575">
              <a:noFill/>
            </a:ln>
          </c:spPr>
          <c:xVal>
            <c:strRef>
              <c:f>Sheet1!$F$2:$AS$2</c:f>
              <c:strCache>
                <c:ptCount val="40"/>
                <c:pt idx="0">
                  <c:v>Armenia</c:v>
                </c:pt>
                <c:pt idx="1">
                  <c:v>Azerbaijan</c:v>
                </c:pt>
                <c:pt idx="2">
                  <c:v>Bangladesh</c:v>
                </c:pt>
                <c:pt idx="3">
                  <c:v>Benin</c:v>
                </c:pt>
                <c:pt idx="4">
                  <c:v>Bolivia (Plurinational State of)</c:v>
                </c:pt>
                <c:pt idx="5">
                  <c:v>Cambodia</c:v>
                </c:pt>
                <c:pt idx="6">
                  <c:v>Colombia</c:v>
                </c:pt>
                <c:pt idx="7">
                  <c:v>Congo</c:v>
                </c:pt>
                <c:pt idx="8">
                  <c:v>Democratic Republic of the Congo</c:v>
                </c:pt>
                <c:pt idx="9">
                  <c:v>Dominican Republic</c:v>
                </c:pt>
                <c:pt idx="10">
                  <c:v>Egypt</c:v>
                </c:pt>
                <c:pt idx="11">
                  <c:v>Ethiopia</c:v>
                </c:pt>
                <c:pt idx="12">
                  <c:v>Ghana</c:v>
                </c:pt>
                <c:pt idx="13">
                  <c:v>Guinea</c:v>
                </c:pt>
                <c:pt idx="14">
                  <c:v>Haiti</c:v>
                </c:pt>
                <c:pt idx="15">
                  <c:v>Honduras</c:v>
                </c:pt>
                <c:pt idx="16">
                  <c:v>India</c:v>
                </c:pt>
                <c:pt idx="17">
                  <c:v>Indonesia</c:v>
                </c:pt>
                <c:pt idx="18">
                  <c:v>Jordan</c:v>
                </c:pt>
                <c:pt idx="19">
                  <c:v>Kenya</c:v>
                </c:pt>
                <c:pt idx="20">
                  <c:v>Liberia</c:v>
                </c:pt>
                <c:pt idx="21">
                  <c:v>Madagascar</c:v>
                </c:pt>
                <c:pt idx="22">
                  <c:v>Maldives</c:v>
                </c:pt>
                <c:pt idx="23">
                  <c:v>Mali</c:v>
                </c:pt>
                <c:pt idx="24">
                  <c:v>Morocco</c:v>
                </c:pt>
                <c:pt idx="25">
                  <c:v>Namibia</c:v>
                </c:pt>
                <c:pt idx="26">
                  <c:v>Nepal</c:v>
                </c:pt>
                <c:pt idx="27">
                  <c:v>Niger</c:v>
                </c:pt>
                <c:pt idx="28">
                  <c:v>Nigeria</c:v>
                </c:pt>
                <c:pt idx="29">
                  <c:v>Pakistan</c:v>
                </c:pt>
                <c:pt idx="30">
                  <c:v>Philippines</c:v>
                </c:pt>
                <c:pt idx="31">
                  <c:v>Republic of Moldova</c:v>
                </c:pt>
                <c:pt idx="32">
                  <c:v>Rwanda</c:v>
                </c:pt>
                <c:pt idx="33">
                  <c:v>Senegal</c:v>
                </c:pt>
                <c:pt idx="34">
                  <c:v>Sierra Leone</c:v>
                </c:pt>
                <c:pt idx="35">
                  <c:v>Swaziland</c:v>
                </c:pt>
                <c:pt idx="36">
                  <c:v>Timor-Leste</c:v>
                </c:pt>
                <c:pt idx="37">
                  <c:v>Uganda</c:v>
                </c:pt>
                <c:pt idx="38">
                  <c:v>Zambia</c:v>
                </c:pt>
                <c:pt idx="39">
                  <c:v>Zimbabwe</c:v>
                </c:pt>
              </c:strCache>
            </c:strRef>
          </c:xVal>
          <c:yVal>
            <c:numRef>
              <c:f>Sheet1!$F$3:$AS$3</c:f>
              <c:numCache>
                <c:formatCode>0.00</c:formatCode>
                <c:ptCount val="40"/>
                <c:pt idx="0">
                  <c:v>2614.7020000000002</c:v>
                </c:pt>
                <c:pt idx="1">
                  <c:v>4798.2349999999997</c:v>
                </c:pt>
                <c:pt idx="2">
                  <c:v>583.97299999999996</c:v>
                </c:pt>
                <c:pt idx="3">
                  <c:v>709.82399999999996</c:v>
                </c:pt>
                <c:pt idx="4">
                  <c:v>1707.624</c:v>
                </c:pt>
                <c:pt idx="5">
                  <c:v>768.36599999999999</c:v>
                </c:pt>
                <c:pt idx="6">
                  <c:v>5153.5039999999999</c:v>
                </c:pt>
                <c:pt idx="7">
                  <c:v>2557.306</c:v>
                </c:pt>
                <c:pt idx="8">
                  <c:v>162.38499999999999</c:v>
                </c:pt>
                <c:pt idx="9">
                  <c:v>4815.8</c:v>
                </c:pt>
                <c:pt idx="10">
                  <c:v>2455.8270000000002</c:v>
                </c:pt>
                <c:pt idx="11">
                  <c:v>389.42899999999997</c:v>
                </c:pt>
                <c:pt idx="12">
                  <c:v>1124.655</c:v>
                </c:pt>
                <c:pt idx="13">
                  <c:v>451.47</c:v>
                </c:pt>
                <c:pt idx="14">
                  <c:v>668.55899999999997</c:v>
                </c:pt>
                <c:pt idx="15">
                  <c:v>1891.57</c:v>
                </c:pt>
                <c:pt idx="16">
                  <c:v>1058.2260000000001</c:v>
                </c:pt>
                <c:pt idx="17">
                  <c:v>2327.2600000000002</c:v>
                </c:pt>
                <c:pt idx="18">
                  <c:v>4199.4979999999996</c:v>
                </c:pt>
                <c:pt idx="19">
                  <c:v>761.50300000000004</c:v>
                </c:pt>
                <c:pt idx="20">
                  <c:v>212.69</c:v>
                </c:pt>
                <c:pt idx="21">
                  <c:v>413.875</c:v>
                </c:pt>
                <c:pt idx="22">
                  <c:v>5499.4889999999996</c:v>
                </c:pt>
                <c:pt idx="23">
                  <c:v>690.82299999999998</c:v>
                </c:pt>
                <c:pt idx="24">
                  <c:v>2899.46</c:v>
                </c:pt>
                <c:pt idx="25">
                  <c:v>4477.5889999999999</c:v>
                </c:pt>
                <c:pt idx="26">
                  <c:v>461.95100000000002</c:v>
                </c:pt>
                <c:pt idx="27">
                  <c:v>371.56700000000001</c:v>
                </c:pt>
                <c:pt idx="28">
                  <c:v>1111.7470000000001</c:v>
                </c:pt>
                <c:pt idx="29">
                  <c:v>989.25300000000004</c:v>
                </c:pt>
                <c:pt idx="30">
                  <c:v>1747.8230000000001</c:v>
                </c:pt>
                <c:pt idx="31">
                  <c:v>1524.232</c:v>
                </c:pt>
                <c:pt idx="32">
                  <c:v>532.64099999999996</c:v>
                </c:pt>
                <c:pt idx="33">
                  <c:v>997.60799999999995</c:v>
                </c:pt>
                <c:pt idx="34">
                  <c:v>325.66300000000001</c:v>
                </c:pt>
                <c:pt idx="35">
                  <c:v>2541.86</c:v>
                </c:pt>
                <c:pt idx="36">
                  <c:v>533.54</c:v>
                </c:pt>
                <c:pt idx="37">
                  <c:v>481.86399999999998</c:v>
                </c:pt>
                <c:pt idx="38">
                  <c:v>989.952</c:v>
                </c:pt>
                <c:pt idx="39">
                  <c:v>464.101</c:v>
                </c:pt>
              </c:numCache>
            </c:numRef>
          </c:yVal>
          <c:smooth val="0"/>
        </c:ser>
        <c:ser>
          <c:idx val="1"/>
          <c:order val="1"/>
          <c:tx>
            <c:strRef>
              <c:f>Sheet1!$E$4</c:f>
              <c:strCache>
                <c:ptCount val="1"/>
                <c:pt idx="0">
                  <c:v>Survey</c:v>
                </c:pt>
              </c:strCache>
            </c:strRef>
          </c:tx>
          <c:spPr>
            <a:ln w="28575">
              <a:noFill/>
            </a:ln>
          </c:spPr>
          <c:xVal>
            <c:strRef>
              <c:f>Sheet1!$F$2:$AS$2</c:f>
              <c:strCache>
                <c:ptCount val="40"/>
                <c:pt idx="0">
                  <c:v>Armenia</c:v>
                </c:pt>
                <c:pt idx="1">
                  <c:v>Azerbaijan</c:v>
                </c:pt>
                <c:pt idx="2">
                  <c:v>Bangladesh</c:v>
                </c:pt>
                <c:pt idx="3">
                  <c:v>Benin</c:v>
                </c:pt>
                <c:pt idx="4">
                  <c:v>Bolivia (Plurinational State of)</c:v>
                </c:pt>
                <c:pt idx="5">
                  <c:v>Cambodia</c:v>
                </c:pt>
                <c:pt idx="6">
                  <c:v>Colombia</c:v>
                </c:pt>
                <c:pt idx="7">
                  <c:v>Congo</c:v>
                </c:pt>
                <c:pt idx="8">
                  <c:v>Democratic Republic of the Congo</c:v>
                </c:pt>
                <c:pt idx="9">
                  <c:v>Dominican Republic</c:v>
                </c:pt>
                <c:pt idx="10">
                  <c:v>Egypt</c:v>
                </c:pt>
                <c:pt idx="11">
                  <c:v>Ethiopia</c:v>
                </c:pt>
                <c:pt idx="12">
                  <c:v>Ghana</c:v>
                </c:pt>
                <c:pt idx="13">
                  <c:v>Guinea</c:v>
                </c:pt>
                <c:pt idx="14">
                  <c:v>Haiti</c:v>
                </c:pt>
                <c:pt idx="15">
                  <c:v>Honduras</c:v>
                </c:pt>
                <c:pt idx="16">
                  <c:v>India</c:v>
                </c:pt>
                <c:pt idx="17">
                  <c:v>Indonesia</c:v>
                </c:pt>
                <c:pt idx="18">
                  <c:v>Jordan</c:v>
                </c:pt>
                <c:pt idx="19">
                  <c:v>Kenya</c:v>
                </c:pt>
                <c:pt idx="20">
                  <c:v>Liberia</c:v>
                </c:pt>
                <c:pt idx="21">
                  <c:v>Madagascar</c:v>
                </c:pt>
                <c:pt idx="22">
                  <c:v>Maldives</c:v>
                </c:pt>
                <c:pt idx="23">
                  <c:v>Mali</c:v>
                </c:pt>
                <c:pt idx="24">
                  <c:v>Morocco</c:v>
                </c:pt>
                <c:pt idx="25">
                  <c:v>Namibia</c:v>
                </c:pt>
                <c:pt idx="26">
                  <c:v>Nepal</c:v>
                </c:pt>
                <c:pt idx="27">
                  <c:v>Niger</c:v>
                </c:pt>
                <c:pt idx="28">
                  <c:v>Nigeria</c:v>
                </c:pt>
                <c:pt idx="29">
                  <c:v>Pakistan</c:v>
                </c:pt>
                <c:pt idx="30">
                  <c:v>Philippines</c:v>
                </c:pt>
                <c:pt idx="31">
                  <c:v>Republic of Moldova</c:v>
                </c:pt>
                <c:pt idx="32">
                  <c:v>Rwanda</c:v>
                </c:pt>
                <c:pt idx="33">
                  <c:v>Senegal</c:v>
                </c:pt>
                <c:pt idx="34">
                  <c:v>Sierra Leone</c:v>
                </c:pt>
                <c:pt idx="35">
                  <c:v>Swaziland</c:v>
                </c:pt>
                <c:pt idx="36">
                  <c:v>Timor-Leste</c:v>
                </c:pt>
                <c:pt idx="37">
                  <c:v>Uganda</c:v>
                </c:pt>
                <c:pt idx="38">
                  <c:v>Zambia</c:v>
                </c:pt>
                <c:pt idx="39">
                  <c:v>Zimbabwe</c:v>
                </c:pt>
              </c:strCache>
            </c:strRef>
          </c:xVal>
          <c:yVal>
            <c:numRef>
              <c:f>Sheet1!$F$4:$AS$4</c:f>
              <c:numCache>
                <c:formatCode>0%</c:formatCode>
                <c:ptCount val="40"/>
                <c:pt idx="0">
                  <c:v>0.71299999999999997</c:v>
                </c:pt>
                <c:pt idx="1">
                  <c:v>0.65900000000000003</c:v>
                </c:pt>
                <c:pt idx="2">
                  <c:v>0.56100000000000005</c:v>
                </c:pt>
                <c:pt idx="3">
                  <c:v>0.52100000000000002</c:v>
                </c:pt>
                <c:pt idx="4">
                  <c:v>0.70000000000000007</c:v>
                </c:pt>
                <c:pt idx="5">
                  <c:v>0.61299999999999999</c:v>
                </c:pt>
                <c:pt idx="6">
                  <c:v>0.78500000000000003</c:v>
                </c:pt>
                <c:pt idx="7">
                  <c:v>0.51900000000000002</c:v>
                </c:pt>
                <c:pt idx="8">
                  <c:v>0.20399999999999999</c:v>
                </c:pt>
                <c:pt idx="9">
                  <c:v>0.53800000000000003</c:v>
                </c:pt>
                <c:pt idx="10">
                  <c:v>0.68</c:v>
                </c:pt>
                <c:pt idx="11">
                  <c:v>0.251</c:v>
                </c:pt>
                <c:pt idx="12">
                  <c:v>0.82000000000000006</c:v>
                </c:pt>
                <c:pt idx="13">
                  <c:v>0.40299999999999997</c:v>
                </c:pt>
                <c:pt idx="14">
                  <c:v>0.48700000000000004</c:v>
                </c:pt>
                <c:pt idx="15">
                  <c:v>0.82200000000000006</c:v>
                </c:pt>
                <c:pt idx="16">
                  <c:v>0.32600000000000001</c:v>
                </c:pt>
                <c:pt idx="17">
                  <c:v>0.312</c:v>
                </c:pt>
                <c:pt idx="18">
                  <c:v>0.88800000000000001</c:v>
                </c:pt>
                <c:pt idx="19">
                  <c:v>0.66400000000000003</c:v>
                </c:pt>
                <c:pt idx="20">
                  <c:v>0.36899999999999999</c:v>
                </c:pt>
                <c:pt idx="21">
                  <c:v>0.54600000000000004</c:v>
                </c:pt>
                <c:pt idx="22">
                  <c:v>0.88600000000000001</c:v>
                </c:pt>
                <c:pt idx="23">
                  <c:v>0.52600000000000002</c:v>
                </c:pt>
                <c:pt idx="24">
                  <c:v>0.75600000000000001</c:v>
                </c:pt>
                <c:pt idx="25">
                  <c:v>0.68200000000000005</c:v>
                </c:pt>
                <c:pt idx="26">
                  <c:v>0.313</c:v>
                </c:pt>
                <c:pt idx="27">
                  <c:v>0.32400000000000001</c:v>
                </c:pt>
                <c:pt idx="28">
                  <c:v>0.20199999999999999</c:v>
                </c:pt>
                <c:pt idx="29">
                  <c:v>0.20899999999999999</c:v>
                </c:pt>
                <c:pt idx="30">
                  <c:v>0.40899999999999997</c:v>
                </c:pt>
                <c:pt idx="31">
                  <c:v>9.8000000000000004E-2</c:v>
                </c:pt>
                <c:pt idx="32">
                  <c:v>0.66099999999999992</c:v>
                </c:pt>
                <c:pt idx="33">
                  <c:v>0.61299999999999999</c:v>
                </c:pt>
                <c:pt idx="34">
                  <c:v>0.45500000000000002</c:v>
                </c:pt>
                <c:pt idx="35">
                  <c:v>0.82400000000000007</c:v>
                </c:pt>
                <c:pt idx="36">
                  <c:v>0.47000000000000003</c:v>
                </c:pt>
                <c:pt idx="37">
                  <c:v>2.2000000000000002E-2</c:v>
                </c:pt>
                <c:pt idx="38">
                  <c:v>0.66900000000000004</c:v>
                </c:pt>
                <c:pt idx="39">
                  <c:v>0.58700000000000008</c:v>
                </c:pt>
              </c:numCache>
            </c:numRef>
          </c:yVal>
          <c:smooth val="0"/>
        </c:ser>
        <c:dLbls>
          <c:showLegendKey val="0"/>
          <c:showVal val="0"/>
          <c:showCatName val="0"/>
          <c:showSerName val="0"/>
          <c:showPercent val="0"/>
          <c:showBubbleSize val="0"/>
        </c:dLbls>
        <c:axId val="87821696"/>
        <c:axId val="86296832"/>
      </c:scatterChart>
      <c:valAx>
        <c:axId val="87821696"/>
        <c:scaling>
          <c:orientation val="minMax"/>
        </c:scaling>
        <c:delete val="0"/>
        <c:axPos val="b"/>
        <c:majorTickMark val="out"/>
        <c:minorTickMark val="none"/>
        <c:tickLblPos val="nextTo"/>
        <c:crossAx val="86296832"/>
        <c:crosses val="autoZero"/>
        <c:crossBetween val="midCat"/>
      </c:valAx>
      <c:valAx>
        <c:axId val="86296832"/>
        <c:scaling>
          <c:orientation val="minMax"/>
        </c:scaling>
        <c:delete val="0"/>
        <c:axPos val="l"/>
        <c:majorGridlines/>
        <c:numFmt formatCode="0.00" sourceLinked="1"/>
        <c:majorTickMark val="out"/>
        <c:minorTickMark val="none"/>
        <c:tickLblPos val="nextTo"/>
        <c:crossAx val="878216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Sheet1!$C$1</c:f>
              <c:strCache>
                <c:ptCount val="1"/>
                <c:pt idx="0">
                  <c:v>GDP</c:v>
                </c:pt>
              </c:strCache>
            </c:strRef>
          </c:tx>
          <c:spPr>
            <a:ln w="28575">
              <a:noFill/>
            </a:ln>
          </c:spPr>
          <c:dLbls>
            <c:dLbl>
              <c:idx val="0"/>
              <c:layout/>
              <c:tx>
                <c:rich>
                  <a:bodyPr/>
                  <a:lstStyle/>
                  <a:p>
                    <a:r>
                      <a:rPr lang="en-US"/>
                      <a:t>Armenia</a:t>
                    </a:r>
                  </a:p>
                </c:rich>
              </c:tx>
              <c:showLegendKey val="0"/>
              <c:showVal val="1"/>
              <c:showCatName val="0"/>
              <c:showSerName val="0"/>
              <c:showPercent val="0"/>
              <c:showBubbleSize val="0"/>
            </c:dLbl>
            <c:dLbl>
              <c:idx val="1"/>
              <c:layout/>
              <c:tx>
                <c:rich>
                  <a:bodyPr/>
                  <a:lstStyle/>
                  <a:p>
                    <a:r>
                      <a:rPr lang="en-US"/>
                      <a:t>Azerbaijan</a:t>
                    </a:r>
                  </a:p>
                </c:rich>
              </c:tx>
              <c:showLegendKey val="0"/>
              <c:showVal val="1"/>
              <c:showCatName val="0"/>
              <c:showSerName val="0"/>
              <c:showPercent val="0"/>
              <c:showBubbleSize val="0"/>
            </c:dLbl>
            <c:dLbl>
              <c:idx val="2"/>
              <c:layout/>
              <c:tx>
                <c:rich>
                  <a:bodyPr/>
                  <a:lstStyle/>
                  <a:p>
                    <a:r>
                      <a:rPr lang="en-US"/>
                      <a:t>Bangladesh</a:t>
                    </a:r>
                  </a:p>
                </c:rich>
              </c:tx>
              <c:showLegendKey val="0"/>
              <c:showVal val="1"/>
              <c:showCatName val="0"/>
              <c:showSerName val="0"/>
              <c:showPercent val="0"/>
              <c:showBubbleSize val="0"/>
            </c:dLbl>
            <c:dLbl>
              <c:idx val="3"/>
              <c:delete val="1"/>
            </c:dLbl>
            <c:dLbl>
              <c:idx val="4"/>
              <c:layout/>
              <c:tx>
                <c:rich>
                  <a:bodyPr/>
                  <a:lstStyle/>
                  <a:p>
                    <a:r>
                      <a:rPr lang="en-US"/>
                      <a:t>Bolivia (Plurinational State of)</a:t>
                    </a:r>
                  </a:p>
                </c:rich>
              </c:tx>
              <c:showLegendKey val="0"/>
              <c:showVal val="1"/>
              <c:showCatName val="0"/>
              <c:showSerName val="0"/>
              <c:showPercent val="0"/>
              <c:showBubbleSize val="0"/>
            </c:dLbl>
            <c:dLbl>
              <c:idx val="6"/>
              <c:layout/>
              <c:tx>
                <c:rich>
                  <a:bodyPr/>
                  <a:lstStyle/>
                  <a:p>
                    <a:r>
                      <a:rPr lang="en-US"/>
                      <a:t>Colombia</a:t>
                    </a:r>
                  </a:p>
                </c:rich>
              </c:tx>
              <c:showLegendKey val="0"/>
              <c:showVal val="1"/>
              <c:showCatName val="0"/>
              <c:showSerName val="0"/>
              <c:showPercent val="0"/>
              <c:showBubbleSize val="0"/>
            </c:dLbl>
            <c:dLbl>
              <c:idx val="7"/>
              <c:layout/>
              <c:tx>
                <c:rich>
                  <a:bodyPr/>
                  <a:lstStyle/>
                  <a:p>
                    <a:r>
                      <a:rPr lang="en-US"/>
                      <a:t>Congo</a:t>
                    </a:r>
                  </a:p>
                </c:rich>
              </c:tx>
              <c:showLegendKey val="0"/>
              <c:showVal val="1"/>
              <c:showCatName val="0"/>
              <c:showSerName val="0"/>
              <c:showPercent val="0"/>
              <c:showBubbleSize val="0"/>
            </c:dLbl>
            <c:dLbl>
              <c:idx val="9"/>
              <c:layout/>
              <c:tx>
                <c:rich>
                  <a:bodyPr/>
                  <a:lstStyle/>
                  <a:p>
                    <a:r>
                      <a:rPr lang="en-US"/>
                      <a:t>Dominican Republic</a:t>
                    </a:r>
                  </a:p>
                </c:rich>
              </c:tx>
              <c:showLegendKey val="0"/>
              <c:showVal val="1"/>
              <c:showCatName val="0"/>
              <c:showSerName val="0"/>
              <c:showPercent val="0"/>
              <c:showBubbleSize val="0"/>
            </c:dLbl>
            <c:dLbl>
              <c:idx val="10"/>
              <c:layout/>
              <c:tx>
                <c:rich>
                  <a:bodyPr/>
                  <a:lstStyle/>
                  <a:p>
                    <a:r>
                      <a:rPr lang="en-US"/>
                      <a:t>Egypt</a:t>
                    </a:r>
                  </a:p>
                </c:rich>
              </c:tx>
              <c:showLegendKey val="0"/>
              <c:showVal val="1"/>
              <c:showCatName val="0"/>
              <c:showSerName val="0"/>
              <c:showPercent val="0"/>
              <c:showBubbleSize val="0"/>
            </c:dLbl>
            <c:dLbl>
              <c:idx val="11"/>
              <c:layout/>
              <c:tx>
                <c:rich>
                  <a:bodyPr/>
                  <a:lstStyle/>
                  <a:p>
                    <a:r>
                      <a:rPr lang="en-US"/>
                      <a:t>Ethiopia</a:t>
                    </a:r>
                  </a:p>
                </c:rich>
              </c:tx>
              <c:showLegendKey val="0"/>
              <c:showVal val="1"/>
              <c:showCatName val="0"/>
              <c:showSerName val="0"/>
              <c:showPercent val="0"/>
              <c:showBubbleSize val="0"/>
            </c:dLbl>
            <c:dLbl>
              <c:idx val="12"/>
              <c:layout/>
              <c:tx>
                <c:rich>
                  <a:bodyPr/>
                  <a:lstStyle/>
                  <a:p>
                    <a:r>
                      <a:rPr lang="en-US"/>
                      <a:t>Ghana</a:t>
                    </a:r>
                  </a:p>
                </c:rich>
              </c:tx>
              <c:showLegendKey val="0"/>
              <c:showVal val="1"/>
              <c:showCatName val="0"/>
              <c:showSerName val="0"/>
              <c:showPercent val="0"/>
              <c:showBubbleSize val="0"/>
            </c:dLbl>
            <c:dLbl>
              <c:idx val="13"/>
              <c:layout/>
              <c:tx>
                <c:rich>
                  <a:bodyPr/>
                  <a:lstStyle/>
                  <a:p>
                    <a:r>
                      <a:rPr lang="en-US"/>
                      <a:t>Guinea</a:t>
                    </a:r>
                  </a:p>
                </c:rich>
              </c:tx>
              <c:showLegendKey val="0"/>
              <c:showVal val="1"/>
              <c:showCatName val="0"/>
              <c:showSerName val="0"/>
              <c:showPercent val="0"/>
              <c:showBubbleSize val="0"/>
            </c:dLbl>
            <c:dLbl>
              <c:idx val="14"/>
              <c:layout/>
              <c:tx>
                <c:rich>
                  <a:bodyPr/>
                  <a:lstStyle/>
                  <a:p>
                    <a:r>
                      <a:rPr lang="en-US"/>
                      <a:t>Haiti</a:t>
                    </a:r>
                  </a:p>
                </c:rich>
              </c:tx>
              <c:showLegendKey val="0"/>
              <c:showVal val="1"/>
              <c:showCatName val="0"/>
              <c:showSerName val="0"/>
              <c:showPercent val="0"/>
              <c:showBubbleSize val="0"/>
            </c:dLbl>
            <c:dLbl>
              <c:idx val="15"/>
              <c:layout/>
              <c:tx>
                <c:rich>
                  <a:bodyPr/>
                  <a:lstStyle/>
                  <a:p>
                    <a:r>
                      <a:rPr lang="en-US"/>
                      <a:t>Honduras</a:t>
                    </a:r>
                  </a:p>
                </c:rich>
              </c:tx>
              <c:showLegendKey val="0"/>
              <c:showVal val="1"/>
              <c:showCatName val="0"/>
              <c:showSerName val="0"/>
              <c:showPercent val="0"/>
              <c:showBubbleSize val="0"/>
            </c:dLbl>
            <c:dLbl>
              <c:idx val="16"/>
              <c:layout/>
              <c:tx>
                <c:rich>
                  <a:bodyPr/>
                  <a:lstStyle/>
                  <a:p>
                    <a:r>
                      <a:rPr lang="en-US"/>
                      <a:t>India</a:t>
                    </a:r>
                  </a:p>
                </c:rich>
              </c:tx>
              <c:showLegendKey val="0"/>
              <c:showVal val="1"/>
              <c:showCatName val="0"/>
              <c:showSerName val="0"/>
              <c:showPercent val="0"/>
              <c:showBubbleSize val="0"/>
            </c:dLbl>
            <c:dLbl>
              <c:idx val="17"/>
              <c:layout/>
              <c:tx>
                <c:rich>
                  <a:bodyPr/>
                  <a:lstStyle/>
                  <a:p>
                    <a:r>
                      <a:rPr lang="en-US"/>
                      <a:t>Indonesia</a:t>
                    </a:r>
                  </a:p>
                </c:rich>
              </c:tx>
              <c:showLegendKey val="0"/>
              <c:showVal val="1"/>
              <c:showCatName val="0"/>
              <c:showSerName val="0"/>
              <c:showPercent val="0"/>
              <c:showBubbleSize val="0"/>
            </c:dLbl>
            <c:dLbl>
              <c:idx val="18"/>
              <c:layout/>
              <c:tx>
                <c:rich>
                  <a:bodyPr/>
                  <a:lstStyle/>
                  <a:p>
                    <a:r>
                      <a:rPr lang="en-US"/>
                      <a:t>Jordan</a:t>
                    </a:r>
                  </a:p>
                </c:rich>
              </c:tx>
              <c:showLegendKey val="0"/>
              <c:showVal val="1"/>
              <c:showCatName val="0"/>
              <c:showSerName val="0"/>
              <c:showPercent val="0"/>
              <c:showBubbleSize val="0"/>
            </c:dLbl>
            <c:dLbl>
              <c:idx val="19"/>
              <c:layout/>
              <c:tx>
                <c:rich>
                  <a:bodyPr/>
                  <a:lstStyle/>
                  <a:p>
                    <a:r>
                      <a:rPr lang="en-US"/>
                      <a:t>Kenya</a:t>
                    </a:r>
                  </a:p>
                </c:rich>
              </c:tx>
              <c:showLegendKey val="0"/>
              <c:showVal val="1"/>
              <c:showCatName val="0"/>
              <c:showSerName val="0"/>
              <c:showPercent val="0"/>
              <c:showBubbleSize val="0"/>
            </c:dLbl>
            <c:dLbl>
              <c:idx val="20"/>
              <c:layout/>
              <c:tx>
                <c:rich>
                  <a:bodyPr/>
                  <a:lstStyle/>
                  <a:p>
                    <a:r>
                      <a:rPr lang="en-US"/>
                      <a:t>Liberia</a:t>
                    </a:r>
                  </a:p>
                </c:rich>
              </c:tx>
              <c:showLegendKey val="0"/>
              <c:showVal val="1"/>
              <c:showCatName val="0"/>
              <c:showSerName val="0"/>
              <c:showPercent val="0"/>
              <c:showBubbleSize val="0"/>
            </c:dLbl>
            <c:dLbl>
              <c:idx val="22"/>
              <c:layout/>
              <c:tx>
                <c:rich>
                  <a:bodyPr/>
                  <a:lstStyle/>
                  <a:p>
                    <a:r>
                      <a:rPr lang="en-US"/>
                      <a:t>Maldives</a:t>
                    </a:r>
                  </a:p>
                </c:rich>
              </c:tx>
              <c:showLegendKey val="0"/>
              <c:showVal val="1"/>
              <c:showCatName val="0"/>
              <c:showSerName val="0"/>
              <c:showPercent val="0"/>
              <c:showBubbleSize val="0"/>
            </c:dLbl>
            <c:dLbl>
              <c:idx val="24"/>
              <c:layout/>
              <c:tx>
                <c:rich>
                  <a:bodyPr/>
                  <a:lstStyle/>
                  <a:p>
                    <a:r>
                      <a:rPr lang="en-US"/>
                      <a:t>Morocco</a:t>
                    </a:r>
                  </a:p>
                </c:rich>
              </c:tx>
              <c:showLegendKey val="0"/>
              <c:showVal val="1"/>
              <c:showCatName val="0"/>
              <c:showSerName val="0"/>
              <c:showPercent val="0"/>
              <c:showBubbleSize val="0"/>
            </c:dLbl>
            <c:dLbl>
              <c:idx val="25"/>
              <c:layout/>
              <c:tx>
                <c:rich>
                  <a:bodyPr/>
                  <a:lstStyle/>
                  <a:p>
                    <a:r>
                      <a:rPr lang="en-US"/>
                      <a:t>Namibia</a:t>
                    </a:r>
                  </a:p>
                </c:rich>
              </c:tx>
              <c:showLegendKey val="0"/>
              <c:showVal val="1"/>
              <c:showCatName val="0"/>
              <c:showSerName val="0"/>
              <c:showPercent val="0"/>
              <c:showBubbleSize val="0"/>
            </c:dLbl>
            <c:dLbl>
              <c:idx val="26"/>
              <c:layout/>
              <c:tx>
                <c:rich>
                  <a:bodyPr/>
                  <a:lstStyle/>
                  <a:p>
                    <a:r>
                      <a:rPr lang="en-US"/>
                      <a:t>Nepal</a:t>
                    </a:r>
                  </a:p>
                </c:rich>
              </c:tx>
              <c:showLegendKey val="0"/>
              <c:showVal val="1"/>
              <c:showCatName val="0"/>
              <c:showSerName val="0"/>
              <c:showPercent val="0"/>
              <c:showBubbleSize val="0"/>
            </c:dLbl>
            <c:dLbl>
              <c:idx val="27"/>
              <c:layout/>
              <c:tx>
                <c:rich>
                  <a:bodyPr/>
                  <a:lstStyle/>
                  <a:p>
                    <a:r>
                      <a:rPr lang="en-US"/>
                      <a:t>Niger</a:t>
                    </a:r>
                  </a:p>
                </c:rich>
              </c:tx>
              <c:showLegendKey val="0"/>
              <c:showVal val="1"/>
              <c:showCatName val="0"/>
              <c:showSerName val="0"/>
              <c:showPercent val="0"/>
              <c:showBubbleSize val="0"/>
            </c:dLbl>
            <c:dLbl>
              <c:idx val="28"/>
              <c:layout/>
              <c:tx>
                <c:rich>
                  <a:bodyPr/>
                  <a:lstStyle/>
                  <a:p>
                    <a:r>
                      <a:rPr lang="en-US"/>
                      <a:t>Nigeria</a:t>
                    </a:r>
                  </a:p>
                </c:rich>
              </c:tx>
              <c:showLegendKey val="0"/>
              <c:showVal val="1"/>
              <c:showCatName val="0"/>
              <c:showSerName val="0"/>
              <c:showPercent val="0"/>
              <c:showBubbleSize val="0"/>
            </c:dLbl>
            <c:dLbl>
              <c:idx val="29"/>
              <c:layout/>
              <c:tx>
                <c:rich>
                  <a:bodyPr/>
                  <a:lstStyle/>
                  <a:p>
                    <a:r>
                      <a:rPr lang="en-US"/>
                      <a:t>Pakistan</a:t>
                    </a:r>
                  </a:p>
                </c:rich>
              </c:tx>
              <c:showLegendKey val="0"/>
              <c:showVal val="1"/>
              <c:showCatName val="0"/>
              <c:showSerName val="0"/>
              <c:showPercent val="0"/>
              <c:showBubbleSize val="0"/>
            </c:dLbl>
            <c:dLbl>
              <c:idx val="30"/>
              <c:layout/>
              <c:tx>
                <c:rich>
                  <a:bodyPr/>
                  <a:lstStyle/>
                  <a:p>
                    <a:r>
                      <a:rPr lang="en-US"/>
                      <a:t>Philippines</a:t>
                    </a:r>
                  </a:p>
                </c:rich>
              </c:tx>
              <c:showLegendKey val="0"/>
              <c:showVal val="1"/>
              <c:showCatName val="0"/>
              <c:showSerName val="0"/>
              <c:showPercent val="0"/>
              <c:showBubbleSize val="0"/>
            </c:dLbl>
            <c:dLbl>
              <c:idx val="31"/>
              <c:layout/>
              <c:tx>
                <c:rich>
                  <a:bodyPr/>
                  <a:lstStyle/>
                  <a:p>
                    <a:r>
                      <a:rPr lang="en-US"/>
                      <a:t>Republic of Moldova</a:t>
                    </a:r>
                  </a:p>
                </c:rich>
              </c:tx>
              <c:showLegendKey val="0"/>
              <c:showVal val="1"/>
              <c:showCatName val="0"/>
              <c:showSerName val="0"/>
              <c:showPercent val="0"/>
              <c:showBubbleSize val="0"/>
            </c:dLbl>
            <c:dLbl>
              <c:idx val="32"/>
              <c:layout/>
              <c:tx>
                <c:rich>
                  <a:bodyPr/>
                  <a:lstStyle/>
                  <a:p>
                    <a:r>
                      <a:rPr lang="en-US"/>
                      <a:t>Rwanda</a:t>
                    </a:r>
                  </a:p>
                </c:rich>
              </c:tx>
              <c:showLegendKey val="0"/>
              <c:showVal val="1"/>
              <c:showCatName val="0"/>
              <c:showSerName val="0"/>
              <c:showPercent val="0"/>
              <c:showBubbleSize val="0"/>
            </c:dLbl>
            <c:dLbl>
              <c:idx val="33"/>
              <c:layout/>
              <c:tx>
                <c:rich>
                  <a:bodyPr/>
                  <a:lstStyle/>
                  <a:p>
                    <a:r>
                      <a:rPr lang="en-US"/>
                      <a:t>Senegal</a:t>
                    </a:r>
                  </a:p>
                </c:rich>
              </c:tx>
              <c:showLegendKey val="0"/>
              <c:showVal val="1"/>
              <c:showCatName val="0"/>
              <c:showSerName val="0"/>
              <c:showPercent val="0"/>
              <c:showBubbleSize val="0"/>
            </c:dLbl>
            <c:dLbl>
              <c:idx val="34"/>
              <c:layout/>
              <c:tx>
                <c:rich>
                  <a:bodyPr/>
                  <a:lstStyle/>
                  <a:p>
                    <a:r>
                      <a:rPr lang="en-US"/>
                      <a:t>Sierra Leone</a:t>
                    </a:r>
                  </a:p>
                </c:rich>
              </c:tx>
              <c:showLegendKey val="0"/>
              <c:showVal val="1"/>
              <c:showCatName val="0"/>
              <c:showSerName val="0"/>
              <c:showPercent val="0"/>
              <c:showBubbleSize val="0"/>
            </c:dLbl>
            <c:dLbl>
              <c:idx val="35"/>
              <c:layout/>
              <c:tx>
                <c:rich>
                  <a:bodyPr/>
                  <a:lstStyle/>
                  <a:p>
                    <a:r>
                      <a:rPr lang="en-US"/>
                      <a:t>Swaziland</a:t>
                    </a:r>
                  </a:p>
                </c:rich>
              </c:tx>
              <c:showLegendKey val="0"/>
              <c:showVal val="1"/>
              <c:showCatName val="0"/>
              <c:showSerName val="0"/>
              <c:showPercent val="0"/>
              <c:showBubbleSize val="0"/>
            </c:dLbl>
            <c:dLbl>
              <c:idx val="36"/>
              <c:layout/>
              <c:tx>
                <c:rich>
                  <a:bodyPr/>
                  <a:lstStyle/>
                  <a:p>
                    <a:r>
                      <a:rPr lang="en-US"/>
                      <a:t>Timor-Leste</a:t>
                    </a:r>
                  </a:p>
                </c:rich>
              </c:tx>
              <c:showLegendKey val="0"/>
              <c:showVal val="1"/>
              <c:showCatName val="0"/>
              <c:showSerName val="0"/>
              <c:showPercent val="0"/>
              <c:showBubbleSize val="0"/>
            </c:dLbl>
            <c:dLbl>
              <c:idx val="37"/>
              <c:layout/>
              <c:tx>
                <c:rich>
                  <a:bodyPr/>
                  <a:lstStyle/>
                  <a:p>
                    <a:r>
                      <a:rPr lang="en-US"/>
                      <a:t>Uganda</a:t>
                    </a:r>
                  </a:p>
                </c:rich>
              </c:tx>
              <c:showLegendKey val="0"/>
              <c:showVal val="1"/>
              <c:showCatName val="0"/>
              <c:showSerName val="0"/>
              <c:showPercent val="0"/>
              <c:showBubbleSize val="0"/>
            </c:dLbl>
            <c:dLbl>
              <c:idx val="38"/>
              <c:layout/>
              <c:tx>
                <c:rich>
                  <a:bodyPr/>
                  <a:lstStyle/>
                  <a:p>
                    <a:r>
                      <a:rPr lang="en-US"/>
                      <a:t>Zambia</a:t>
                    </a:r>
                  </a:p>
                </c:rich>
              </c:tx>
              <c:showLegendKey val="0"/>
              <c:showVal val="1"/>
              <c:showCatName val="0"/>
              <c:showSerName val="0"/>
              <c:showPercent val="0"/>
              <c:showBubbleSize val="0"/>
            </c:dLbl>
            <c:dLbl>
              <c:idx val="39"/>
              <c:layout/>
              <c:tx>
                <c:rich>
                  <a:bodyPr/>
                  <a:lstStyle/>
                  <a:p>
                    <a:r>
                      <a:rPr lang="en-US"/>
                      <a:t>Zimbabwe</a:t>
                    </a:r>
                  </a:p>
                </c:rich>
              </c:tx>
              <c:showLegendKey val="0"/>
              <c:showVal val="1"/>
              <c:showCatName val="0"/>
              <c:showSerName val="0"/>
              <c:showPercent val="0"/>
              <c:showBubbleSize val="0"/>
            </c:dLbl>
            <c:showLegendKey val="0"/>
            <c:showVal val="0"/>
            <c:showCatName val="0"/>
            <c:showSerName val="0"/>
            <c:showPercent val="0"/>
            <c:showBubbleSize val="0"/>
          </c:dLbls>
          <c:xVal>
            <c:numRef>
              <c:f>Sheet1!$B$2:$B$41</c:f>
              <c:numCache>
                <c:formatCode>General</c:formatCode>
                <c:ptCount val="40"/>
                <c:pt idx="0">
                  <c:v>0.71299999999999997</c:v>
                </c:pt>
                <c:pt idx="1">
                  <c:v>0.65900000000000003</c:v>
                </c:pt>
                <c:pt idx="2">
                  <c:v>0.56100000000000005</c:v>
                </c:pt>
                <c:pt idx="3">
                  <c:v>0.52100000000000002</c:v>
                </c:pt>
                <c:pt idx="4">
                  <c:v>0.70000000000000007</c:v>
                </c:pt>
                <c:pt idx="5">
                  <c:v>0.61299999999999999</c:v>
                </c:pt>
                <c:pt idx="6">
                  <c:v>0.78500000000000003</c:v>
                </c:pt>
                <c:pt idx="7">
                  <c:v>0.51900000000000002</c:v>
                </c:pt>
                <c:pt idx="8">
                  <c:v>0.20399999999999999</c:v>
                </c:pt>
                <c:pt idx="9">
                  <c:v>0.53800000000000003</c:v>
                </c:pt>
                <c:pt idx="10">
                  <c:v>0.68</c:v>
                </c:pt>
                <c:pt idx="11">
                  <c:v>0.251</c:v>
                </c:pt>
                <c:pt idx="12">
                  <c:v>0.82000000000000006</c:v>
                </c:pt>
                <c:pt idx="13">
                  <c:v>0.40299999999999997</c:v>
                </c:pt>
                <c:pt idx="14">
                  <c:v>0.48700000000000004</c:v>
                </c:pt>
                <c:pt idx="15">
                  <c:v>0.82200000000000006</c:v>
                </c:pt>
                <c:pt idx="16">
                  <c:v>0.32600000000000001</c:v>
                </c:pt>
                <c:pt idx="17">
                  <c:v>0.312</c:v>
                </c:pt>
                <c:pt idx="18">
                  <c:v>0.88800000000000001</c:v>
                </c:pt>
                <c:pt idx="19">
                  <c:v>0.66400000000000003</c:v>
                </c:pt>
                <c:pt idx="20">
                  <c:v>0.36899999999999999</c:v>
                </c:pt>
                <c:pt idx="21">
                  <c:v>0.54600000000000004</c:v>
                </c:pt>
                <c:pt idx="22">
                  <c:v>0.88600000000000001</c:v>
                </c:pt>
                <c:pt idx="23">
                  <c:v>0.52600000000000002</c:v>
                </c:pt>
                <c:pt idx="24">
                  <c:v>0.75600000000000001</c:v>
                </c:pt>
                <c:pt idx="25">
                  <c:v>0.68200000000000005</c:v>
                </c:pt>
                <c:pt idx="26">
                  <c:v>0.313</c:v>
                </c:pt>
                <c:pt idx="27">
                  <c:v>0.32400000000000001</c:v>
                </c:pt>
                <c:pt idx="28">
                  <c:v>0.20199999999999999</c:v>
                </c:pt>
                <c:pt idx="29">
                  <c:v>0.20899999999999999</c:v>
                </c:pt>
                <c:pt idx="30">
                  <c:v>0.40899999999999997</c:v>
                </c:pt>
                <c:pt idx="31">
                  <c:v>9.8000000000000004E-2</c:v>
                </c:pt>
                <c:pt idx="32">
                  <c:v>0.66099999999999992</c:v>
                </c:pt>
                <c:pt idx="33">
                  <c:v>0.61299999999999999</c:v>
                </c:pt>
                <c:pt idx="34">
                  <c:v>0.45500000000000002</c:v>
                </c:pt>
                <c:pt idx="35">
                  <c:v>0.82400000000000007</c:v>
                </c:pt>
                <c:pt idx="36">
                  <c:v>0.47000000000000003</c:v>
                </c:pt>
                <c:pt idx="37">
                  <c:v>2.2000000000000002E-2</c:v>
                </c:pt>
                <c:pt idx="38">
                  <c:v>0.66900000000000004</c:v>
                </c:pt>
                <c:pt idx="39">
                  <c:v>0.58700000000000008</c:v>
                </c:pt>
              </c:numCache>
            </c:numRef>
          </c:xVal>
          <c:yVal>
            <c:numRef>
              <c:f>Sheet1!$C$2:$C$41</c:f>
              <c:numCache>
                <c:formatCode>0.00</c:formatCode>
                <c:ptCount val="40"/>
                <c:pt idx="0">
                  <c:v>2614.7020000000002</c:v>
                </c:pt>
                <c:pt idx="1">
                  <c:v>4798.2349999999997</c:v>
                </c:pt>
                <c:pt idx="2">
                  <c:v>583.97299999999996</c:v>
                </c:pt>
                <c:pt idx="3">
                  <c:v>709.82399999999996</c:v>
                </c:pt>
                <c:pt idx="4">
                  <c:v>1707.624</c:v>
                </c:pt>
                <c:pt idx="5">
                  <c:v>768.36599999999999</c:v>
                </c:pt>
                <c:pt idx="6">
                  <c:v>5153.5039999999999</c:v>
                </c:pt>
                <c:pt idx="7">
                  <c:v>2557.306</c:v>
                </c:pt>
                <c:pt idx="8">
                  <c:v>162.38499999999999</c:v>
                </c:pt>
                <c:pt idx="9">
                  <c:v>4815.8</c:v>
                </c:pt>
                <c:pt idx="10">
                  <c:v>2455.8270000000002</c:v>
                </c:pt>
                <c:pt idx="11">
                  <c:v>389.42899999999997</c:v>
                </c:pt>
                <c:pt idx="12">
                  <c:v>1124.655</c:v>
                </c:pt>
                <c:pt idx="13">
                  <c:v>451.47</c:v>
                </c:pt>
                <c:pt idx="14">
                  <c:v>668.55899999999997</c:v>
                </c:pt>
                <c:pt idx="15">
                  <c:v>1891.57</c:v>
                </c:pt>
                <c:pt idx="16">
                  <c:v>1058.2260000000001</c:v>
                </c:pt>
                <c:pt idx="17">
                  <c:v>2327.2600000000002</c:v>
                </c:pt>
                <c:pt idx="18">
                  <c:v>4199.4979999999996</c:v>
                </c:pt>
                <c:pt idx="19">
                  <c:v>761.50300000000004</c:v>
                </c:pt>
                <c:pt idx="20">
                  <c:v>212.69</c:v>
                </c:pt>
                <c:pt idx="21">
                  <c:v>413.875</c:v>
                </c:pt>
                <c:pt idx="22">
                  <c:v>5499.4889999999996</c:v>
                </c:pt>
                <c:pt idx="23">
                  <c:v>690.82299999999998</c:v>
                </c:pt>
                <c:pt idx="24">
                  <c:v>2899.46</c:v>
                </c:pt>
                <c:pt idx="25">
                  <c:v>4477.5889999999999</c:v>
                </c:pt>
                <c:pt idx="26">
                  <c:v>461.95100000000002</c:v>
                </c:pt>
                <c:pt idx="27">
                  <c:v>371.56700000000001</c:v>
                </c:pt>
                <c:pt idx="28">
                  <c:v>1111.7470000000001</c:v>
                </c:pt>
                <c:pt idx="29">
                  <c:v>989.25300000000004</c:v>
                </c:pt>
                <c:pt idx="30">
                  <c:v>1747.8230000000001</c:v>
                </c:pt>
                <c:pt idx="31">
                  <c:v>1524.232</c:v>
                </c:pt>
                <c:pt idx="32">
                  <c:v>532.64099999999996</c:v>
                </c:pt>
                <c:pt idx="33">
                  <c:v>997.60799999999995</c:v>
                </c:pt>
                <c:pt idx="34">
                  <c:v>325.66300000000001</c:v>
                </c:pt>
                <c:pt idx="35">
                  <c:v>2541.86</c:v>
                </c:pt>
                <c:pt idx="36">
                  <c:v>533.54</c:v>
                </c:pt>
                <c:pt idx="37">
                  <c:v>481.86399999999998</c:v>
                </c:pt>
                <c:pt idx="38">
                  <c:v>989.952</c:v>
                </c:pt>
                <c:pt idx="39">
                  <c:v>464.101</c:v>
                </c:pt>
              </c:numCache>
            </c:numRef>
          </c:yVal>
          <c:smooth val="0"/>
        </c:ser>
        <c:dLbls>
          <c:showLegendKey val="0"/>
          <c:showVal val="0"/>
          <c:showCatName val="0"/>
          <c:showSerName val="0"/>
          <c:showPercent val="0"/>
          <c:showBubbleSize val="0"/>
        </c:dLbls>
        <c:axId val="158826880"/>
        <c:axId val="101122816"/>
      </c:scatterChart>
      <c:valAx>
        <c:axId val="158826880"/>
        <c:scaling>
          <c:orientation val="minMax"/>
        </c:scaling>
        <c:delete val="0"/>
        <c:axPos val="b"/>
        <c:numFmt formatCode="General" sourceLinked="1"/>
        <c:majorTickMark val="out"/>
        <c:minorTickMark val="none"/>
        <c:tickLblPos val="nextTo"/>
        <c:crossAx val="101122816"/>
        <c:crosses val="autoZero"/>
        <c:crossBetween val="midCat"/>
      </c:valAx>
      <c:valAx>
        <c:axId val="101122816"/>
        <c:scaling>
          <c:orientation val="minMax"/>
        </c:scaling>
        <c:delete val="0"/>
        <c:axPos val="l"/>
        <c:majorGridlines/>
        <c:numFmt formatCode="0.00" sourceLinked="1"/>
        <c:majorTickMark val="out"/>
        <c:minorTickMark val="none"/>
        <c:tickLblPos val="nextTo"/>
        <c:crossAx val="15882688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'unvacc-hiv-tb'!$F$4</c:f>
              <c:strCache>
                <c:ptCount val="1"/>
                <c:pt idx="0">
                  <c:v>1990</c:v>
                </c:pt>
              </c:strCache>
            </c:strRef>
          </c:tx>
          <c:invertIfNegative val="0"/>
          <c:cat>
            <c:strRef>
              <c:f>'unvacc-hiv-tb'!$C$5:$C$10</c:f>
              <c:strCache>
                <c:ptCount val="6"/>
                <c:pt idx="0">
                  <c:v>Low income</c:v>
                </c:pt>
                <c:pt idx="1">
                  <c:v>Lower middle income</c:v>
                </c:pt>
                <c:pt idx="2">
                  <c:v>PINCIs</c:v>
                </c:pt>
                <c:pt idx="3">
                  <c:v>Upper middle income</c:v>
                </c:pt>
                <c:pt idx="4">
                  <c:v>Total MIC</c:v>
                </c:pt>
                <c:pt idx="5">
                  <c:v>High income</c:v>
                </c:pt>
              </c:strCache>
            </c:strRef>
          </c:cat>
          <c:val>
            <c:numRef>
              <c:f>'unvacc-hiv-tb'!$F$5:$F$10</c:f>
              <c:numCache>
                <c:formatCode>#,##0</c:formatCode>
                <c:ptCount val="6"/>
                <c:pt idx="0">
                  <c:v>2062350</c:v>
                </c:pt>
                <c:pt idx="1">
                  <c:v>1578754</c:v>
                </c:pt>
                <c:pt idx="2">
                  <c:v>7750000</c:v>
                </c:pt>
                <c:pt idx="3">
                  <c:v>1471709</c:v>
                </c:pt>
                <c:pt idx="4">
                  <c:v>10800463</c:v>
                </c:pt>
                <c:pt idx="5">
                  <c:v>407845</c:v>
                </c:pt>
              </c:numCache>
            </c:numRef>
          </c:val>
        </c:ser>
        <c:ser>
          <c:idx val="1"/>
          <c:order val="1"/>
          <c:tx>
            <c:strRef>
              <c:f>'unvacc-hiv-tb'!$G$4</c:f>
              <c:strCache>
                <c:ptCount val="1"/>
                <c:pt idx="0">
                  <c:v>2009</c:v>
                </c:pt>
              </c:strCache>
            </c:strRef>
          </c:tx>
          <c:invertIfNegative val="0"/>
          <c:cat>
            <c:strRef>
              <c:f>'unvacc-hiv-tb'!$C$5:$C$10</c:f>
              <c:strCache>
                <c:ptCount val="6"/>
                <c:pt idx="0">
                  <c:v>Low income</c:v>
                </c:pt>
                <c:pt idx="1">
                  <c:v>Lower middle income</c:v>
                </c:pt>
                <c:pt idx="2">
                  <c:v>PINCIs</c:v>
                </c:pt>
                <c:pt idx="3">
                  <c:v>Upper middle income</c:v>
                </c:pt>
                <c:pt idx="4">
                  <c:v>Total MIC</c:v>
                </c:pt>
                <c:pt idx="5">
                  <c:v>High income</c:v>
                </c:pt>
              </c:strCache>
            </c:strRef>
          </c:cat>
          <c:val>
            <c:numRef>
              <c:f>'unvacc-hiv-tb'!$G$5:$G$10</c:f>
              <c:numCache>
                <c:formatCode>#,##0</c:formatCode>
                <c:ptCount val="6"/>
                <c:pt idx="0">
                  <c:v>3501860</c:v>
                </c:pt>
                <c:pt idx="1">
                  <c:v>1735994</c:v>
                </c:pt>
                <c:pt idx="2">
                  <c:v>7000000</c:v>
                </c:pt>
                <c:pt idx="3">
                  <c:v>1195719</c:v>
                </c:pt>
                <c:pt idx="4">
                  <c:v>9931713</c:v>
                </c:pt>
                <c:pt idx="5">
                  <c:v>187005</c:v>
                </c:pt>
              </c:numCache>
            </c:numRef>
          </c:val>
        </c:ser>
        <c:dLbls>
          <c:showLegendKey val="0"/>
          <c:showVal val="0"/>
          <c:showCatName val="0"/>
          <c:showSerName val="0"/>
          <c:showPercent val="0"/>
          <c:showBubbleSize val="0"/>
        </c:dLbls>
        <c:gapWidth val="150"/>
        <c:axId val="154613632"/>
        <c:axId val="154615168"/>
      </c:barChart>
      <c:catAx>
        <c:axId val="154613632"/>
        <c:scaling>
          <c:orientation val="minMax"/>
        </c:scaling>
        <c:delete val="0"/>
        <c:axPos val="b"/>
        <c:majorTickMark val="out"/>
        <c:minorTickMark val="none"/>
        <c:tickLblPos val="nextTo"/>
        <c:crossAx val="154615168"/>
        <c:crosses val="autoZero"/>
        <c:auto val="1"/>
        <c:lblAlgn val="ctr"/>
        <c:lblOffset val="100"/>
        <c:noMultiLvlLbl val="0"/>
      </c:catAx>
      <c:valAx>
        <c:axId val="154615168"/>
        <c:scaling>
          <c:orientation val="minMax"/>
        </c:scaling>
        <c:delete val="0"/>
        <c:axPos val="l"/>
        <c:majorGridlines/>
        <c:numFmt formatCode="#,##0" sourceLinked="1"/>
        <c:majorTickMark val="out"/>
        <c:minorTickMark val="none"/>
        <c:tickLblPos val="nextTo"/>
        <c:crossAx val="1546136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DTP-3 Unvaccinated</a:t>
            </a:r>
            <a:r>
              <a:rPr lang="en-US" baseline="0"/>
              <a:t> Children/HIV+ and Not Receiving ARV</a:t>
            </a:r>
            <a:endParaRPr lang="en-US"/>
          </a:p>
        </c:rich>
      </c:tx>
      <c:layout/>
      <c:overlay val="1"/>
    </c:title>
    <c:autoTitleDeleted val="0"/>
    <c:plotArea>
      <c:layout/>
      <c:barChart>
        <c:barDir val="col"/>
        <c:grouping val="clustered"/>
        <c:varyColors val="0"/>
        <c:ser>
          <c:idx val="0"/>
          <c:order val="0"/>
          <c:tx>
            <c:strRef>
              <c:f>'unvacc-hiv-tb'!$K$4</c:f>
              <c:strCache>
                <c:ptCount val="1"/>
                <c:pt idx="0">
                  <c:v>DTP-3 unvaccinated children, 2010</c:v>
                </c:pt>
              </c:strCache>
            </c:strRef>
          </c:tx>
          <c:invertIfNegative val="0"/>
          <c:cat>
            <c:strRef>
              <c:f>'unvacc-hiv-tb'!$C$5:$C$10</c:f>
              <c:strCache>
                <c:ptCount val="6"/>
                <c:pt idx="0">
                  <c:v>Low income</c:v>
                </c:pt>
                <c:pt idx="1">
                  <c:v>Lower middle income</c:v>
                </c:pt>
                <c:pt idx="2">
                  <c:v>PINCIs</c:v>
                </c:pt>
                <c:pt idx="3">
                  <c:v>Upper middle income</c:v>
                </c:pt>
                <c:pt idx="4">
                  <c:v>Total MIC</c:v>
                </c:pt>
                <c:pt idx="5">
                  <c:v>High income</c:v>
                </c:pt>
              </c:strCache>
            </c:strRef>
          </c:cat>
          <c:val>
            <c:numRef>
              <c:f>'unvacc-hiv-tb'!$K$5:$K$10</c:f>
              <c:numCache>
                <c:formatCode>_(* #,##0.0_);_(* \(#,##0.0\);_(* "-"??_);_(@_)</c:formatCode>
                <c:ptCount val="6"/>
                <c:pt idx="0">
                  <c:v>5476879</c:v>
                </c:pt>
                <c:pt idx="1">
                  <c:v>2433650</c:v>
                </c:pt>
                <c:pt idx="2" formatCode="#,##0">
                  <c:v>14439809</c:v>
                </c:pt>
                <c:pt idx="3">
                  <c:v>1261671</c:v>
                </c:pt>
                <c:pt idx="4" formatCode="#,##0">
                  <c:v>18135130</c:v>
                </c:pt>
                <c:pt idx="5">
                  <c:v>652149</c:v>
                </c:pt>
              </c:numCache>
            </c:numRef>
          </c:val>
        </c:ser>
        <c:ser>
          <c:idx val="1"/>
          <c:order val="1"/>
          <c:tx>
            <c:strRef>
              <c:f>'unvacc-hiv-tb'!$M$4</c:f>
              <c:strCache>
                <c:ptCount val="1"/>
                <c:pt idx="0">
                  <c:v>HIV+/no ARV, 2008</c:v>
                </c:pt>
              </c:strCache>
            </c:strRef>
          </c:tx>
          <c:invertIfNegative val="0"/>
          <c:cat>
            <c:strRef>
              <c:f>'unvacc-hiv-tb'!$C$5:$C$10</c:f>
              <c:strCache>
                <c:ptCount val="6"/>
                <c:pt idx="0">
                  <c:v>Low income</c:v>
                </c:pt>
                <c:pt idx="1">
                  <c:v>Lower middle income</c:v>
                </c:pt>
                <c:pt idx="2">
                  <c:v>PINCIs</c:v>
                </c:pt>
                <c:pt idx="3">
                  <c:v>Upper middle income</c:v>
                </c:pt>
                <c:pt idx="4">
                  <c:v>Total MIC</c:v>
                </c:pt>
                <c:pt idx="5">
                  <c:v>High income</c:v>
                </c:pt>
              </c:strCache>
            </c:strRef>
          </c:cat>
          <c:val>
            <c:numRef>
              <c:f>'unvacc-hiv-tb'!$M$5:$M$10</c:f>
              <c:numCache>
                <c:formatCode>#,##0</c:formatCode>
                <c:ptCount val="6"/>
                <c:pt idx="0">
                  <c:v>8137942</c:v>
                </c:pt>
                <c:pt idx="1">
                  <c:v>3342976</c:v>
                </c:pt>
                <c:pt idx="2">
                  <c:v>6315025</c:v>
                </c:pt>
                <c:pt idx="3">
                  <c:v>7170821</c:v>
                </c:pt>
                <c:pt idx="4">
                  <c:v>16828822</c:v>
                </c:pt>
                <c:pt idx="5">
                  <c:v>1314983</c:v>
                </c:pt>
              </c:numCache>
            </c:numRef>
          </c:val>
        </c:ser>
        <c:dLbls>
          <c:showLegendKey val="0"/>
          <c:showVal val="0"/>
          <c:showCatName val="0"/>
          <c:showSerName val="0"/>
          <c:showPercent val="0"/>
          <c:showBubbleSize val="0"/>
        </c:dLbls>
        <c:gapWidth val="150"/>
        <c:axId val="154656768"/>
        <c:axId val="154658304"/>
      </c:barChart>
      <c:catAx>
        <c:axId val="154656768"/>
        <c:scaling>
          <c:orientation val="minMax"/>
        </c:scaling>
        <c:delete val="0"/>
        <c:axPos val="b"/>
        <c:majorTickMark val="out"/>
        <c:minorTickMark val="none"/>
        <c:tickLblPos val="nextTo"/>
        <c:crossAx val="154658304"/>
        <c:crosses val="autoZero"/>
        <c:auto val="1"/>
        <c:lblAlgn val="ctr"/>
        <c:lblOffset val="100"/>
        <c:noMultiLvlLbl val="0"/>
      </c:catAx>
      <c:valAx>
        <c:axId val="154658304"/>
        <c:scaling>
          <c:orientation val="minMax"/>
        </c:scaling>
        <c:delete val="0"/>
        <c:axPos val="l"/>
        <c:majorGridlines/>
        <c:numFmt formatCode="_(* #,##0.0_);_(* \(#,##0.0\);_(* &quot;-&quot;??_);_(@_)" sourceLinked="1"/>
        <c:majorTickMark val="out"/>
        <c:minorTickMark val="none"/>
        <c:tickLblPos val="nextTo"/>
        <c:crossAx val="1546567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'unvacc-hiv-tb'!$H$4</c:f>
              <c:strCache>
                <c:ptCount val="1"/>
                <c:pt idx="0">
                  <c:v>1990</c:v>
                </c:pt>
              </c:strCache>
            </c:strRef>
          </c:tx>
          <c:invertIfNegative val="0"/>
          <c:cat>
            <c:strRef>
              <c:f>'unvacc-hiv-tb'!$C$5:$C$10</c:f>
              <c:strCache>
                <c:ptCount val="6"/>
                <c:pt idx="0">
                  <c:v>Low income</c:v>
                </c:pt>
                <c:pt idx="1">
                  <c:v>Lower middle income</c:v>
                </c:pt>
                <c:pt idx="2">
                  <c:v>PINCIs</c:v>
                </c:pt>
                <c:pt idx="3">
                  <c:v>Upper middle income</c:v>
                </c:pt>
                <c:pt idx="4">
                  <c:v>Total MIC</c:v>
                </c:pt>
                <c:pt idx="5">
                  <c:v>High income</c:v>
                </c:pt>
              </c:strCache>
            </c:strRef>
          </c:cat>
          <c:val>
            <c:numRef>
              <c:f>'unvacc-hiv-tb'!$H$5:$H$10</c:f>
              <c:numCache>
                <c:formatCode>#,##0</c:formatCode>
                <c:ptCount val="6"/>
                <c:pt idx="0">
                  <c:v>253191</c:v>
                </c:pt>
                <c:pt idx="1">
                  <c:v>240848</c:v>
                </c:pt>
                <c:pt idx="2">
                  <c:v>404889</c:v>
                </c:pt>
                <c:pt idx="3">
                  <c:v>262101</c:v>
                </c:pt>
                <c:pt idx="4">
                  <c:v>907838</c:v>
                </c:pt>
                <c:pt idx="5">
                  <c:v>163558</c:v>
                </c:pt>
              </c:numCache>
            </c:numRef>
          </c:val>
        </c:ser>
        <c:ser>
          <c:idx val="1"/>
          <c:order val="1"/>
          <c:tx>
            <c:strRef>
              <c:f>'unvacc-hiv-tb'!$I$4</c:f>
              <c:strCache>
                <c:ptCount val="1"/>
                <c:pt idx="0">
                  <c:v>2010</c:v>
                </c:pt>
              </c:strCache>
            </c:strRef>
          </c:tx>
          <c:invertIfNegative val="0"/>
          <c:cat>
            <c:strRef>
              <c:f>'unvacc-hiv-tb'!$C$5:$C$10</c:f>
              <c:strCache>
                <c:ptCount val="6"/>
                <c:pt idx="0">
                  <c:v>Low income</c:v>
                </c:pt>
                <c:pt idx="1">
                  <c:v>Lower middle income</c:v>
                </c:pt>
                <c:pt idx="2">
                  <c:v>PINCIs</c:v>
                </c:pt>
                <c:pt idx="3">
                  <c:v>Upper middle income</c:v>
                </c:pt>
                <c:pt idx="4">
                  <c:v>Total MIC</c:v>
                </c:pt>
                <c:pt idx="5">
                  <c:v>High income</c:v>
                </c:pt>
              </c:strCache>
            </c:strRef>
          </c:cat>
          <c:val>
            <c:numRef>
              <c:f>'unvacc-hiv-tb'!$I$5:$I$10</c:f>
              <c:numCache>
                <c:formatCode>#,##0</c:formatCode>
                <c:ptCount val="6"/>
                <c:pt idx="0">
                  <c:v>155738</c:v>
                </c:pt>
                <c:pt idx="1">
                  <c:v>28894</c:v>
                </c:pt>
                <c:pt idx="2">
                  <c:v>97260</c:v>
                </c:pt>
                <c:pt idx="3">
                  <c:v>7759</c:v>
                </c:pt>
                <c:pt idx="4">
                  <c:v>133913</c:v>
                </c:pt>
                <c:pt idx="5">
                  <c:v>9283</c:v>
                </c:pt>
              </c:numCache>
            </c:numRef>
          </c:val>
        </c:ser>
        <c:dLbls>
          <c:showLegendKey val="0"/>
          <c:showVal val="0"/>
          <c:showCatName val="0"/>
          <c:showSerName val="0"/>
          <c:showPercent val="0"/>
          <c:showBubbleSize val="0"/>
        </c:dLbls>
        <c:gapWidth val="150"/>
        <c:axId val="154755072"/>
        <c:axId val="154756608"/>
      </c:barChart>
      <c:catAx>
        <c:axId val="154755072"/>
        <c:scaling>
          <c:orientation val="minMax"/>
        </c:scaling>
        <c:delete val="0"/>
        <c:axPos val="b"/>
        <c:majorTickMark val="out"/>
        <c:minorTickMark val="none"/>
        <c:tickLblPos val="nextTo"/>
        <c:crossAx val="154756608"/>
        <c:crosses val="autoZero"/>
        <c:auto val="1"/>
        <c:lblAlgn val="ctr"/>
        <c:lblOffset val="100"/>
        <c:noMultiLvlLbl val="0"/>
      </c:catAx>
      <c:valAx>
        <c:axId val="154756608"/>
        <c:scaling>
          <c:orientation val="minMax"/>
        </c:scaling>
        <c:delete val="0"/>
        <c:axPos val="l"/>
        <c:majorGridlines/>
        <c:numFmt formatCode="#,##0" sourceLinked="1"/>
        <c:majorTickMark val="out"/>
        <c:minorTickMark val="none"/>
        <c:tickLblPos val="nextTo"/>
        <c:crossAx val="1547550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cat>
            <c:strRef>
              <c:f>GAVI!$T$4:$T$5</c:f>
              <c:strCache>
                <c:ptCount val="2"/>
                <c:pt idx="0">
                  <c:v>GAVI LIC</c:v>
                </c:pt>
                <c:pt idx="1">
                  <c:v>GAVI MIC</c:v>
                </c:pt>
              </c:strCache>
            </c:strRef>
          </c:cat>
          <c:val>
            <c:numRef>
              <c:f>GAVI!$U$4:$U$5</c:f>
              <c:numCache>
                <c:formatCode>#,##0</c:formatCode>
                <c:ptCount val="2"/>
                <c:pt idx="0">
                  <c:v>1819586080</c:v>
                </c:pt>
                <c:pt idx="1">
                  <c:v>1009543760</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a:t>
            </a:r>
            <a:r>
              <a:rPr lang="en-US" baseline="0"/>
              <a:t> Health Aid Disbursements, 2009, US$</a:t>
            </a:r>
          </a:p>
          <a:p>
            <a:pPr>
              <a:defRPr/>
            </a:pPr>
            <a:endParaRPr lang="en-US"/>
          </a:p>
        </c:rich>
      </c:tx>
      <c:layout/>
      <c:overlay val="1"/>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showLegendKey val="0"/>
            <c:showVal val="1"/>
            <c:showCatName val="0"/>
            <c:showSerName val="0"/>
            <c:showPercent val="0"/>
            <c:showBubbleSize val="0"/>
            <c:showLeaderLines val="1"/>
          </c:dLbls>
          <c:cat>
            <c:strRef>
              <c:f>'Health aid'!$A$4:$C$4</c:f>
              <c:strCache>
                <c:ptCount val="3"/>
                <c:pt idx="0">
                  <c:v>LIC</c:v>
                </c:pt>
                <c:pt idx="1">
                  <c:v>LMIC</c:v>
                </c:pt>
                <c:pt idx="2">
                  <c:v>UMIC</c:v>
                </c:pt>
              </c:strCache>
            </c:strRef>
          </c:cat>
          <c:val>
            <c:numRef>
              <c:f>'Health aid'!$A$5:$C$5</c:f>
              <c:numCache>
                <c:formatCode>#,##0</c:formatCode>
                <c:ptCount val="3"/>
                <c:pt idx="0">
                  <c:v>5766.9380000000001</c:v>
                </c:pt>
                <c:pt idx="1">
                  <c:v>4861.3440000000001</c:v>
                </c:pt>
                <c:pt idx="2">
                  <c:v>1801.367</c:v>
                </c:pt>
              </c:numCache>
            </c:numRef>
          </c:val>
        </c:ser>
        <c:dLbls>
          <c:showLegendKey val="0"/>
          <c:showVal val="0"/>
          <c:showCatName val="0"/>
          <c:showSerName val="0"/>
          <c:showPercent val="0"/>
          <c:showBubbleSize val="0"/>
          <c:showLeaderLines val="1"/>
        </c:dLbls>
      </c:pie3D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'PICNIC income distribution'!$A$4</c:f>
              <c:strCache>
                <c:ptCount val="1"/>
                <c:pt idx="0">
                  <c:v>Pakistan (2006)</c:v>
                </c:pt>
              </c:strCache>
            </c:strRef>
          </c:tx>
          <c:invertIfNegative val="0"/>
          <c:cat>
            <c:strRef>
              <c:f>'PICNIC income distribution'!$B$3:$F$3</c:f>
              <c:strCache>
                <c:ptCount val="5"/>
                <c:pt idx="0">
                  <c:v>Highest 20%</c:v>
                </c:pt>
                <c:pt idx="1">
                  <c:v>Fourth 20%</c:v>
                </c:pt>
                <c:pt idx="2">
                  <c:v>Third 20%</c:v>
                </c:pt>
                <c:pt idx="3">
                  <c:v>Second 20%</c:v>
                </c:pt>
                <c:pt idx="4">
                  <c:v>Lowest 20%</c:v>
                </c:pt>
              </c:strCache>
            </c:strRef>
          </c:cat>
          <c:val>
            <c:numRef>
              <c:f>'PICNIC income distribution'!$B$4:$F$4</c:f>
              <c:numCache>
                <c:formatCode>0.00%</c:formatCode>
                <c:ptCount val="5"/>
                <c:pt idx="0">
                  <c:v>0.42099999999999999</c:v>
                </c:pt>
                <c:pt idx="1">
                  <c:v>0.20699999999999999</c:v>
                </c:pt>
                <c:pt idx="2">
                  <c:v>0.158</c:v>
                </c:pt>
                <c:pt idx="3">
                  <c:v>0.124</c:v>
                </c:pt>
                <c:pt idx="4">
                  <c:v>8.9999999999999969E-2</c:v>
                </c:pt>
              </c:numCache>
            </c:numRef>
          </c:val>
        </c:ser>
        <c:ser>
          <c:idx val="1"/>
          <c:order val="1"/>
          <c:tx>
            <c:strRef>
              <c:f>'PICNIC income distribution'!$A$5</c:f>
              <c:strCache>
                <c:ptCount val="1"/>
                <c:pt idx="0">
                  <c:v>India (2005)</c:v>
                </c:pt>
              </c:strCache>
            </c:strRef>
          </c:tx>
          <c:invertIfNegative val="0"/>
          <c:cat>
            <c:strRef>
              <c:f>'PICNIC income distribution'!$B$3:$F$3</c:f>
              <c:strCache>
                <c:ptCount val="5"/>
                <c:pt idx="0">
                  <c:v>Highest 20%</c:v>
                </c:pt>
                <c:pt idx="1">
                  <c:v>Fourth 20%</c:v>
                </c:pt>
                <c:pt idx="2">
                  <c:v>Third 20%</c:v>
                </c:pt>
                <c:pt idx="3">
                  <c:v>Second 20%</c:v>
                </c:pt>
                <c:pt idx="4">
                  <c:v>Lowest 20%</c:v>
                </c:pt>
              </c:strCache>
            </c:strRef>
          </c:cat>
          <c:val>
            <c:numRef>
              <c:f>'PICNIC income distribution'!$B$5:$F$5</c:f>
              <c:numCache>
                <c:formatCode>0.00%</c:formatCode>
                <c:ptCount val="5"/>
                <c:pt idx="0">
                  <c:v>0.45300000000000001</c:v>
                </c:pt>
                <c:pt idx="1">
                  <c:v>0.20399999999999999</c:v>
                </c:pt>
                <c:pt idx="2">
                  <c:v>0.14899999999999999</c:v>
                </c:pt>
                <c:pt idx="3">
                  <c:v>0.113</c:v>
                </c:pt>
                <c:pt idx="4">
                  <c:v>8.0999999999999961E-2</c:v>
                </c:pt>
              </c:numCache>
            </c:numRef>
          </c:val>
        </c:ser>
        <c:ser>
          <c:idx val="2"/>
          <c:order val="2"/>
          <c:tx>
            <c:strRef>
              <c:f>'PICNIC income distribution'!$A$6</c:f>
              <c:strCache>
                <c:ptCount val="1"/>
                <c:pt idx="0">
                  <c:v>China (2005)</c:v>
                </c:pt>
              </c:strCache>
            </c:strRef>
          </c:tx>
          <c:invertIfNegative val="0"/>
          <c:cat>
            <c:strRef>
              <c:f>'PICNIC income distribution'!$B$3:$F$3</c:f>
              <c:strCache>
                <c:ptCount val="5"/>
                <c:pt idx="0">
                  <c:v>Highest 20%</c:v>
                </c:pt>
                <c:pt idx="1">
                  <c:v>Fourth 20%</c:v>
                </c:pt>
                <c:pt idx="2">
                  <c:v>Third 20%</c:v>
                </c:pt>
                <c:pt idx="3">
                  <c:v>Second 20%</c:v>
                </c:pt>
                <c:pt idx="4">
                  <c:v>Lowest 20%</c:v>
                </c:pt>
              </c:strCache>
            </c:strRef>
          </c:cat>
          <c:val>
            <c:numRef>
              <c:f>'PICNIC income distribution'!$B$6:$F$6</c:f>
              <c:numCache>
                <c:formatCode>0%</c:formatCode>
                <c:ptCount val="5"/>
                <c:pt idx="0" formatCode="0.00%">
                  <c:v>0.47799999999999998</c:v>
                </c:pt>
                <c:pt idx="1">
                  <c:v>0.22</c:v>
                </c:pt>
                <c:pt idx="2" formatCode="0.00%">
                  <c:v>0.14699999999999999</c:v>
                </c:pt>
                <c:pt idx="3" formatCode="0.00%">
                  <c:v>9.8000000000000004E-2</c:v>
                </c:pt>
                <c:pt idx="4" formatCode="0.00%">
                  <c:v>5.7000000000000051E-2</c:v>
                </c:pt>
              </c:numCache>
            </c:numRef>
          </c:val>
        </c:ser>
        <c:ser>
          <c:idx val="3"/>
          <c:order val="3"/>
          <c:tx>
            <c:strRef>
              <c:f>'PICNIC income distribution'!$A$7</c:f>
              <c:strCache>
                <c:ptCount val="1"/>
                <c:pt idx="0">
                  <c:v>Nigeria (2004)</c:v>
                </c:pt>
              </c:strCache>
            </c:strRef>
          </c:tx>
          <c:invertIfNegative val="0"/>
          <c:cat>
            <c:strRef>
              <c:f>'PICNIC income distribution'!$B$3:$F$3</c:f>
              <c:strCache>
                <c:ptCount val="5"/>
                <c:pt idx="0">
                  <c:v>Highest 20%</c:v>
                </c:pt>
                <c:pt idx="1">
                  <c:v>Fourth 20%</c:v>
                </c:pt>
                <c:pt idx="2">
                  <c:v>Third 20%</c:v>
                </c:pt>
                <c:pt idx="3">
                  <c:v>Second 20%</c:v>
                </c:pt>
                <c:pt idx="4">
                  <c:v>Lowest 20%</c:v>
                </c:pt>
              </c:strCache>
            </c:strRef>
          </c:cat>
          <c:val>
            <c:numRef>
              <c:f>'PICNIC income distribution'!$B$7:$F$7</c:f>
              <c:numCache>
                <c:formatCode>0.00%</c:formatCode>
                <c:ptCount val="5"/>
                <c:pt idx="0">
                  <c:v>0.48599999999999999</c:v>
                </c:pt>
                <c:pt idx="1">
                  <c:v>0.219</c:v>
                </c:pt>
                <c:pt idx="2">
                  <c:v>0.14699999999999999</c:v>
                </c:pt>
                <c:pt idx="3">
                  <c:v>9.7000000000000003E-2</c:v>
                </c:pt>
                <c:pt idx="4">
                  <c:v>5.1000000000000045E-2</c:v>
                </c:pt>
              </c:numCache>
            </c:numRef>
          </c:val>
        </c:ser>
        <c:ser>
          <c:idx val="4"/>
          <c:order val="4"/>
          <c:tx>
            <c:strRef>
              <c:f>'PICNIC income distribution'!$A$8</c:f>
              <c:strCache>
                <c:ptCount val="1"/>
                <c:pt idx="0">
                  <c:v>Indonesia (2009)</c:v>
                </c:pt>
              </c:strCache>
            </c:strRef>
          </c:tx>
          <c:invertIfNegative val="0"/>
          <c:cat>
            <c:strRef>
              <c:f>'PICNIC income distribution'!$B$3:$F$3</c:f>
              <c:strCache>
                <c:ptCount val="5"/>
                <c:pt idx="0">
                  <c:v>Highest 20%</c:v>
                </c:pt>
                <c:pt idx="1">
                  <c:v>Fourth 20%</c:v>
                </c:pt>
                <c:pt idx="2">
                  <c:v>Third 20%</c:v>
                </c:pt>
                <c:pt idx="3">
                  <c:v>Second 20%</c:v>
                </c:pt>
                <c:pt idx="4">
                  <c:v>Lowest 20%</c:v>
                </c:pt>
              </c:strCache>
            </c:strRef>
          </c:cat>
          <c:val>
            <c:numRef>
              <c:f>'PICNIC income distribution'!$B$8:$F$8</c:f>
              <c:numCache>
                <c:formatCode>0.00%</c:formatCode>
                <c:ptCount val="5"/>
                <c:pt idx="0">
                  <c:v>0.44900000000000001</c:v>
                </c:pt>
                <c:pt idx="1">
                  <c:v>0.21099999999999999</c:v>
                </c:pt>
                <c:pt idx="2">
                  <c:v>0.151</c:v>
                </c:pt>
                <c:pt idx="3">
                  <c:v>0.113</c:v>
                </c:pt>
                <c:pt idx="4">
                  <c:v>7.5999999999999956E-2</c:v>
                </c:pt>
              </c:numCache>
            </c:numRef>
          </c:val>
        </c:ser>
        <c:dLbls>
          <c:showLegendKey val="0"/>
          <c:showVal val="0"/>
          <c:showCatName val="0"/>
          <c:showSerName val="0"/>
          <c:showPercent val="0"/>
          <c:showBubbleSize val="0"/>
        </c:dLbls>
        <c:gapWidth val="150"/>
        <c:axId val="156489600"/>
        <c:axId val="156491776"/>
      </c:barChart>
      <c:catAx>
        <c:axId val="156489600"/>
        <c:scaling>
          <c:orientation val="minMax"/>
        </c:scaling>
        <c:delete val="0"/>
        <c:axPos val="b"/>
        <c:title>
          <c:tx>
            <c:rich>
              <a:bodyPr/>
              <a:lstStyle/>
              <a:p>
                <a:pPr>
                  <a:defRPr/>
                </a:pPr>
                <a:r>
                  <a:rPr lang="en-US"/>
                  <a:t>Income</a:t>
                </a:r>
                <a:r>
                  <a:rPr lang="en-US" baseline="0"/>
                  <a:t> Share by Quintile</a:t>
                </a:r>
                <a:endParaRPr lang="en-US"/>
              </a:p>
            </c:rich>
          </c:tx>
          <c:layout/>
          <c:overlay val="0"/>
        </c:title>
        <c:majorTickMark val="out"/>
        <c:minorTickMark val="none"/>
        <c:tickLblPos val="nextTo"/>
        <c:crossAx val="156491776"/>
        <c:crosses val="autoZero"/>
        <c:auto val="1"/>
        <c:lblAlgn val="ctr"/>
        <c:lblOffset val="100"/>
        <c:noMultiLvlLbl val="0"/>
      </c:catAx>
      <c:valAx>
        <c:axId val="156491776"/>
        <c:scaling>
          <c:orientation val="minMax"/>
          <c:max val="0.5"/>
        </c:scaling>
        <c:delete val="0"/>
        <c:axPos val="l"/>
        <c:majorGridlines/>
        <c:numFmt formatCode="0.00%" sourceLinked="1"/>
        <c:majorTickMark val="out"/>
        <c:minorTickMark val="none"/>
        <c:tickLblPos val="nextTo"/>
        <c:crossAx val="1564896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Population, GAVI Eligible LIC</a:t>
            </a:r>
          </a:p>
        </c:rich>
      </c:tx>
      <c:overlay val="0"/>
    </c:title>
    <c:autoTitleDeleted val="0"/>
    <c:plotArea>
      <c:layout/>
      <c:lineChart>
        <c:grouping val="standard"/>
        <c:varyColors val="0"/>
        <c:ser>
          <c:idx val="2"/>
          <c:order val="0"/>
          <c:tx>
            <c:v>Population</c:v>
          </c:tx>
          <c:marker>
            <c:symbol val="none"/>
          </c:marker>
          <c:cat>
            <c:numRef>
              <c:f>'modified LI'!$B$1:$D$1</c:f>
              <c:numCache>
                <c:formatCode>General</c:formatCode>
                <c:ptCount val="3"/>
                <c:pt idx="0">
                  <c:v>2010</c:v>
                </c:pt>
                <c:pt idx="1">
                  <c:v>2015</c:v>
                </c:pt>
                <c:pt idx="2">
                  <c:v>2020</c:v>
                </c:pt>
              </c:numCache>
            </c:numRef>
          </c:cat>
          <c:val>
            <c:numRef>
              <c:f>'modified LI'!$B$42:$D$42</c:f>
              <c:numCache>
                <c:formatCode>General</c:formatCode>
                <c:ptCount val="3"/>
                <c:pt idx="0">
                  <c:v>120822</c:v>
                </c:pt>
                <c:pt idx="1">
                  <c:v>129676</c:v>
                </c:pt>
                <c:pt idx="2">
                  <c:v>138000</c:v>
                </c:pt>
              </c:numCache>
            </c:numRef>
          </c:val>
          <c:smooth val="0"/>
        </c:ser>
        <c:dLbls>
          <c:showLegendKey val="0"/>
          <c:showVal val="0"/>
          <c:showCatName val="0"/>
          <c:showSerName val="0"/>
          <c:showPercent val="0"/>
          <c:showBubbleSize val="0"/>
        </c:dLbls>
        <c:marker val="1"/>
        <c:smooth val="0"/>
        <c:axId val="156760320"/>
        <c:axId val="151838720"/>
      </c:lineChart>
      <c:catAx>
        <c:axId val="156760320"/>
        <c:scaling>
          <c:orientation val="minMax"/>
        </c:scaling>
        <c:delete val="0"/>
        <c:axPos val="b"/>
        <c:numFmt formatCode="General" sourceLinked="1"/>
        <c:majorTickMark val="out"/>
        <c:minorTickMark val="none"/>
        <c:tickLblPos val="nextTo"/>
        <c:crossAx val="151838720"/>
        <c:crosses val="autoZero"/>
        <c:auto val="1"/>
        <c:lblAlgn val="ctr"/>
        <c:lblOffset val="100"/>
        <c:noMultiLvlLbl val="0"/>
      </c:catAx>
      <c:valAx>
        <c:axId val="151838720"/>
        <c:scaling>
          <c:orientation val="minMax"/>
        </c:scaling>
        <c:delete val="0"/>
        <c:axPos val="l"/>
        <c:majorGridlines/>
        <c:numFmt formatCode="General" sourceLinked="1"/>
        <c:majorTickMark val="out"/>
        <c:minorTickMark val="none"/>
        <c:tickLblPos val="nextTo"/>
        <c:crossAx val="156760320"/>
        <c:crosses val="autoZero"/>
        <c:crossBetween val="between"/>
      </c:valAx>
    </c:plotArea>
    <c:plotVisOnly val="1"/>
    <c:dispBlanksAs val="gap"/>
    <c:showDLblsOverMax val="0"/>
  </c:chart>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2.xml"/></Relationships>
</file>

<file path=xl/chartsheets/sheet1.xml><?xml version="1.0" encoding="utf-8"?>
<chartsheet xmlns="http://schemas.openxmlformats.org/spreadsheetml/2006/main" xmlns:r="http://schemas.openxmlformats.org/officeDocument/2006/relationships">
  <sheetPr codeName="Chart37"/>
  <sheetViews>
    <sheetView tabSelected="1" zoomScale="12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5</xdr:col>
      <xdr:colOff>200025</xdr:colOff>
      <xdr:row>8</xdr:row>
      <xdr:rowOff>185737</xdr:rowOff>
    </xdr:from>
    <xdr:to>
      <xdr:col>12</xdr:col>
      <xdr:colOff>266700</xdr:colOff>
      <xdr:row>23</xdr:row>
      <xdr:rowOff>71437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180975</xdr:colOff>
      <xdr:row>3</xdr:row>
      <xdr:rowOff>52387</xdr:rowOff>
    </xdr:from>
    <xdr:to>
      <xdr:col>12</xdr:col>
      <xdr:colOff>485775</xdr:colOff>
      <xdr:row>17</xdr:row>
      <xdr:rowOff>128587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200025</xdr:colOff>
      <xdr:row>19</xdr:row>
      <xdr:rowOff>128587</xdr:rowOff>
    </xdr:from>
    <xdr:to>
      <xdr:col>4</xdr:col>
      <xdr:colOff>485775</xdr:colOff>
      <xdr:row>34</xdr:row>
      <xdr:rowOff>14287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2</xdr:row>
      <xdr:rowOff>166687</xdr:rowOff>
    </xdr:from>
    <xdr:to>
      <xdr:col>13</xdr:col>
      <xdr:colOff>38100</xdr:colOff>
      <xdr:row>17</xdr:row>
      <xdr:rowOff>52387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933450</xdr:colOff>
      <xdr:row>34</xdr:row>
      <xdr:rowOff>185737</xdr:rowOff>
    </xdr:from>
    <xdr:to>
      <xdr:col>9</xdr:col>
      <xdr:colOff>523875</xdr:colOff>
      <xdr:row>49</xdr:row>
      <xdr:rowOff>71437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838200</xdr:colOff>
      <xdr:row>19</xdr:row>
      <xdr:rowOff>109537</xdr:rowOff>
    </xdr:from>
    <xdr:to>
      <xdr:col>9</xdr:col>
      <xdr:colOff>428625</xdr:colOff>
      <xdr:row>33</xdr:row>
      <xdr:rowOff>185737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257175</xdr:colOff>
      <xdr:row>34</xdr:row>
      <xdr:rowOff>157162</xdr:rowOff>
    </xdr:from>
    <xdr:to>
      <xdr:col>4</xdr:col>
      <xdr:colOff>542925</xdr:colOff>
      <xdr:row>49</xdr:row>
      <xdr:rowOff>42862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absoluteAnchor>
    <xdr:pos x="0" y="0"/>
    <xdr:ext cx="8671560" cy="62941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twoCellAnchor>
    <xdr:from>
      <xdr:col>31</xdr:col>
      <xdr:colOff>76200</xdr:colOff>
      <xdr:row>13</xdr:row>
      <xdr:rowOff>147637</xdr:rowOff>
    </xdr:from>
    <xdr:to>
      <xdr:col>38</xdr:col>
      <xdr:colOff>381000</xdr:colOff>
      <xdr:row>28</xdr:row>
      <xdr:rowOff>33337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4629150" y="1123950"/>
    <xdr:ext cx="8743950" cy="4600575"/>
    <xdr:graphicFrame macro="">
      <xdr:nvGraphicFramePr>
        <xdr:cNvPr id="14" name="Chart 1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xdr:col>
      <xdr:colOff>200025</xdr:colOff>
      <xdr:row>11</xdr:row>
      <xdr:rowOff>23812</xdr:rowOff>
    </xdr:from>
    <xdr:to>
      <xdr:col>7</xdr:col>
      <xdr:colOff>66675</xdr:colOff>
      <xdr:row>26</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390525</xdr:colOff>
      <xdr:row>12</xdr:row>
      <xdr:rowOff>23811</xdr:rowOff>
    </xdr:from>
    <xdr:to>
      <xdr:col>13</xdr:col>
      <xdr:colOff>0</xdr:colOff>
      <xdr:row>29</xdr:row>
      <xdr:rowOff>104774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409575</xdr:colOff>
      <xdr:row>31</xdr:row>
      <xdr:rowOff>119062</xdr:rowOff>
    </xdr:from>
    <xdr:to>
      <xdr:col>13</xdr:col>
      <xdr:colOff>400050</xdr:colOff>
      <xdr:row>46</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361949</xdr:colOff>
      <xdr:row>28</xdr:row>
      <xdr:rowOff>185736</xdr:rowOff>
    </xdr:from>
    <xdr:to>
      <xdr:col>6</xdr:col>
      <xdr:colOff>828674</xdr:colOff>
      <xdr:row>45</xdr:row>
      <xdr:rowOff>38099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571500</xdr:colOff>
      <xdr:row>6</xdr:row>
      <xdr:rowOff>71437</xdr:rowOff>
    </xdr:from>
    <xdr:to>
      <xdr:col>24</xdr:col>
      <xdr:colOff>57150</xdr:colOff>
      <xdr:row>13</xdr:row>
      <xdr:rowOff>80962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10</xdr:row>
      <xdr:rowOff>52387</xdr:rowOff>
    </xdr:from>
    <xdr:to>
      <xdr:col>10</xdr:col>
      <xdr:colOff>238125</xdr:colOff>
      <xdr:row>25</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847725</xdr:colOff>
      <xdr:row>10</xdr:row>
      <xdr:rowOff>71436</xdr:rowOff>
    </xdr:from>
    <xdr:to>
      <xdr:col>5</xdr:col>
      <xdr:colOff>1390650</xdr:colOff>
      <xdr:row>29</xdr:row>
      <xdr:rowOff>133349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142875</xdr:colOff>
      <xdr:row>4</xdr:row>
      <xdr:rowOff>119062</xdr:rowOff>
    </xdr:from>
    <xdr:to>
      <xdr:col>12</xdr:col>
      <xdr:colOff>447675</xdr:colOff>
      <xdr:row>19</xdr:row>
      <xdr:rowOff>4762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142875</xdr:colOff>
      <xdr:row>4</xdr:row>
      <xdr:rowOff>119062</xdr:rowOff>
    </xdr:from>
    <xdr:to>
      <xdr:col>13</xdr:col>
      <xdr:colOff>447675</xdr:colOff>
      <xdr:row>19</xdr:row>
      <xdr:rowOff>4762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714375</xdr:colOff>
      <xdr:row>8</xdr:row>
      <xdr:rowOff>100011</xdr:rowOff>
    </xdr:from>
    <xdr:to>
      <xdr:col>9</xdr:col>
      <xdr:colOff>342900</xdr:colOff>
      <xdr:row>24</xdr:row>
      <xdr:rowOff>47624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1136650</xdr:colOff>
      <xdr:row>9</xdr:row>
      <xdr:rowOff>144462</xdr:rowOff>
    </xdr:from>
    <xdr:to>
      <xdr:col>12</xdr:col>
      <xdr:colOff>381000</xdr:colOff>
      <xdr:row>36</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0786.468789236111" createdVersion="4" refreshedVersion="4" minRefreshableVersion="3" recordCount="181">
  <cacheSource type="worksheet">
    <worksheetSource ref="A1:G182" sheet="DALYperincomegroup"/>
  </cacheSource>
  <cacheFields count="7">
    <cacheField name="Total DALYs, 2004, '000 (WHO 2009)" numFmtId="168">
      <sharedItems count="181">
        <s v="Afghanistan"/>
        <s v="Albania"/>
        <s v="Algeria"/>
        <s v="Andorra"/>
        <s v="Angola"/>
        <s v="Argentina"/>
        <s v="Armenia"/>
        <s v="Australia"/>
        <s v="Austria"/>
        <s v="Azerbaijan"/>
        <s v="Bahamas"/>
        <s v="Bahrain"/>
        <s v="Bangladesh"/>
        <s v="Barbados"/>
        <s v="Belarus"/>
        <s v="Belgium"/>
        <s v="Belize"/>
        <s v="Benin"/>
        <s v="Bhutan"/>
        <s v="Bolivia"/>
        <s v="Bosnia and Herzegovina"/>
        <s v="Botswana"/>
        <s v="Brazil"/>
        <s v="Brunei Darussalam"/>
        <s v="Bulgaria"/>
        <s v="Burkina Faso"/>
        <s v="Burundi"/>
        <s v="Cambodia"/>
        <s v="Cameroon"/>
        <s v="Canada"/>
        <s v="Cape Verde"/>
        <s v="Central African Republic"/>
        <s v="Chad"/>
        <s v="Chile"/>
        <s v="China"/>
        <s v="Colombia"/>
        <s v="Comoros"/>
        <s v="Congo"/>
        <s v="Costa Rica"/>
        <s v="Croatia"/>
        <s v="Cuba"/>
        <s v="Cyprus"/>
        <s v="Czech Republic"/>
        <s v="Côte d'Ivoire"/>
        <s v="Democratic People's Republic of Korea"/>
        <s v="Democratic Republic of the Congo"/>
        <s v="Denmark"/>
        <s v="Djibouti"/>
        <s v="Dominican Republic"/>
        <s v="Ecuador"/>
        <s v="Egypt"/>
        <s v="El Salvador"/>
        <s v="Equatorial Guinea"/>
        <s v="Eritrea"/>
        <s v="Estonia"/>
        <s v="Ethiopia"/>
        <s v="Fiji"/>
        <s v="Finland"/>
        <s v="France"/>
        <s v="Gabon"/>
        <s v="Gambia"/>
        <s v="Georgia"/>
        <s v="Germany"/>
        <s v="Ghana"/>
        <s v="Greece"/>
        <s v="Grenada"/>
        <s v="Guatemala"/>
        <s v="Guinea"/>
        <s v="Guinea-Bissau"/>
        <s v="Guyana"/>
        <s v="Haiti"/>
        <s v="Honduras"/>
        <s v="Hungary"/>
        <s v="Iceland"/>
        <s v="India"/>
        <s v="Indonesia"/>
        <s v="Iran (Islamic Republic of)"/>
        <s v="Iraq"/>
        <s v="Ireland"/>
        <s v="Israel"/>
        <s v="Italy"/>
        <s v="Jamaica"/>
        <s v="Japan"/>
        <s v="Jordan"/>
        <s v="Kazakhstan"/>
        <s v="Kenya"/>
        <s v="Kuwait"/>
        <s v="Kyrgyzstan"/>
        <s v="Lao People's Democratic Republic"/>
        <s v="Latvia"/>
        <s v="Lebanon"/>
        <s v="Lesotho"/>
        <s v="Liberia"/>
        <s v="Libyan Arab Jamahiriya"/>
        <s v="Lithuania"/>
        <s v="Luxembourg"/>
        <s v="Madagascar"/>
        <s v="Malawi"/>
        <s v="Malaysia"/>
        <s v="Maldives"/>
        <s v="Mali"/>
        <s v="Malta"/>
        <s v="Mauritania"/>
        <s v="Mauritius"/>
        <s v="Mexico"/>
        <s v="Micronesia (Federated States of)"/>
        <s v="Monaco"/>
        <s v="Mongolia"/>
        <s v="Morocco"/>
        <s v="Mozambique"/>
        <s v="Myanmar"/>
        <s v="Namibia"/>
        <s v="Nepal"/>
        <s v="Netherlands"/>
        <s v="New Zealand"/>
        <s v="Nicaragua"/>
        <s v="Niger"/>
        <s v="Nigeria"/>
        <s v="Norway"/>
        <s v="Oman"/>
        <s v="Pakistan"/>
        <s v="Panama"/>
        <s v="Papua New Guinea"/>
        <s v="Paraguay"/>
        <s v="Peru"/>
        <s v="Philippines"/>
        <s v="Poland"/>
        <s v="Portugal"/>
        <s v="Qatar"/>
        <s v="Republic of Korea"/>
        <s v="Republic of Moldova"/>
        <s v="Romania"/>
        <s v="Russian Federation"/>
        <s v="Rwanda"/>
        <s v="Saint Lucia"/>
        <s v="Saint Vincent and the Grenadines"/>
        <s v="Samoa"/>
        <s v="San Marino"/>
        <s v="Sao Tome and Principe"/>
        <s v="Saudi Arabia"/>
        <s v="Senegal"/>
        <s v="Serbia and Montenegro"/>
        <s v="Sierra Leone"/>
        <s v="Singapore"/>
        <s v="Slovakia"/>
        <s v="Slovenia"/>
        <s v="Solomon Islands"/>
        <s v="Somalia"/>
        <s v="South Africa"/>
        <s v="Spain"/>
        <s v="Sri Lanka"/>
        <s v="Sudan"/>
        <s v="Suriname"/>
        <s v="Swaziland"/>
        <s v="Sweden"/>
        <s v="Switzerland"/>
        <s v="Syrian Arab Republic"/>
        <s v="Tajikistan"/>
        <s v="Thailand"/>
        <s v="The former Yugoslav Republic of Macedonia"/>
        <s v="Timor-Leste"/>
        <s v="Togo"/>
        <s v="Tonga"/>
        <s v="Trinidad and Tobago"/>
        <s v="Tunisia"/>
        <s v="Turkey"/>
        <s v="Turkmenistan"/>
        <s v="Uganda"/>
        <s v="Ukraine"/>
        <s v="United Arab Emirates"/>
        <s v="United Kingdom"/>
        <s v="United Republic of Tanzania"/>
        <s v="United States of America"/>
        <s v="Uruguay"/>
        <s v="Uzbekistan"/>
        <s v="Vanuatu"/>
        <s v="Venezuela (Bolivarian Republic of)"/>
        <s v="Viet Nam"/>
        <s v="Yemen"/>
        <s v="Zambia"/>
        <s v="Zimbabwe"/>
      </sharedItems>
    </cacheField>
    <cacheField name="All causes" numFmtId="169">
      <sharedItems containsSemiMixedTypes="0" containsString="0" containsNumber="1" minValue="3.1679919433593748" maxValue="305111.87199999997"/>
    </cacheField>
    <cacheField name="TB" numFmtId="169">
      <sharedItems containsSemiMixedTypes="0" containsString="0" containsNumber="1" minValue="4.8380543291568759E-4" maxValue="7286.1409999999996"/>
    </cacheField>
    <cacheField name="HIV/AIDS" numFmtId="169">
      <sharedItems containsSemiMixedTypes="0" containsString="0" containsNumber="1" minValue="4.5779676437377927E-3" maxValue="8545.3957499999997"/>
    </cacheField>
    <cacheField name="Measles" numFmtId="169">
      <sharedItems containsSemiMixedTypes="0" containsString="0" containsNumber="1" minValue="0" maxValue="4994.0092500000001"/>
    </cacheField>
    <cacheField name="Total VPD" numFmtId="169">
      <sharedItems containsSemiMixedTypes="0" containsString="0" containsNumber="1" minValue="8.8808685541152954E-4" maxValue="10569.816500000001"/>
    </cacheField>
    <cacheField name="Income category" numFmtId="0">
      <sharedItems count="5">
        <s v="Low income"/>
        <s v="Upper middle income"/>
        <s v="High income"/>
        <s v="Lower middle income"/>
        <s v="PINCI"/>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1">
  <r>
    <x v="0"/>
    <n v="18437.125"/>
    <n v="275.16850781250002"/>
    <n v="0.22418104171752928"/>
    <n v="11.34074169921875"/>
    <n v="381.008671875"/>
    <x v="0"/>
  </r>
  <r>
    <x v="1"/>
    <n v="499.02640624999998"/>
    <n v="1.7696212463378906"/>
    <n v="0.22680249607563019"/>
    <n v="4.6816301345825196E-3"/>
    <n v="0.35442218017578125"/>
    <x v="1"/>
  </r>
  <r>
    <x v="2"/>
    <n v="5215.3940000000002"/>
    <n v="20.64752294921875"/>
    <n v="19.74558984375"/>
    <n v="4.2126184082031246"/>
    <n v="37.973990234375002"/>
    <x v="1"/>
  </r>
  <r>
    <x v="3"/>
    <n v="8.5668173828125003"/>
    <n v="9.4738874435424808E-3"/>
    <n v="9.9220739364624028E-2"/>
    <n v="4.1674210224300627E-6"/>
    <n v="1.0452423691749574E-3"/>
    <x v="2"/>
  </r>
  <r>
    <x v="4"/>
    <n v="12469.907999999999"/>
    <n v="117.0421875"/>
    <n v="308.30812500000002"/>
    <n v="32.502225585937502"/>
    <n v="235.68417968750001"/>
    <x v="3"/>
  </r>
  <r>
    <x v="5"/>
    <n v="5985.4522500000003"/>
    <n v="16.016590820312501"/>
    <n v="62.560324218749997"/>
    <n v="9.0335239656269556E-6"/>
    <n v="2.522134033203125"/>
    <x v="1"/>
  </r>
  <r>
    <x v="6"/>
    <n v="570.29278124999996"/>
    <n v="7.4410507812500004"/>
    <n v="2.1904331970214845"/>
    <n v="0.11309019470214844"/>
    <n v="0.3076312561035156"/>
    <x v="3"/>
  </r>
  <r>
    <x v="7"/>
    <n v="2223.004625"/>
    <n v="0.51167062377929684"/>
    <n v="4.5123222045898439"/>
    <n v="1.9788326323032378E-4"/>
    <n v="0.75260153198242186"/>
    <x v="2"/>
  </r>
  <r>
    <x v="8"/>
    <n v="996.08921874999999"/>
    <n v="0.63356874084472659"/>
    <n v="2.4979455566406248"/>
    <n v="5.3201101303100587E-2"/>
    <n v="0.44927003479003907"/>
    <x v="2"/>
  </r>
  <r>
    <x v="9"/>
    <n v="1573.5900624999999"/>
    <n v="20.910330566406252"/>
    <n v="3.1389624023437501"/>
    <n v="0.12070726776123047"/>
    <n v="0.92985079956054684"/>
    <x v="1"/>
  </r>
  <r>
    <x v="10"/>
    <n v="59.477425781249998"/>
    <n v="0.30161280822753905"/>
    <n v="4.8319099121093751"/>
    <n v="0"/>
    <n v="1.7958500862121581E-2"/>
    <x v="2"/>
  </r>
  <r>
    <x v="11"/>
    <n v="85.331382812499996"/>
    <n v="0.37397463226318362"/>
    <n v="0.73555139160156247"/>
    <n v="9.0560820698738103E-4"/>
    <n v="6.819281768798828E-2"/>
    <x v="2"/>
  </r>
  <r>
    <x v="12"/>
    <n v="39993.125999999997"/>
    <n v="1721.5969375"/>
    <n v="7.8185889282226562"/>
    <n v="522.66637500000002"/>
    <n v="823.55640625000001"/>
    <x v="0"/>
  </r>
  <r>
    <x v="13"/>
    <n v="47.710662109375001"/>
    <n v="1.0377955436706544E-2"/>
    <n v="2.1165369262695313"/>
    <n v="2.8519509942270814E-7"/>
    <n v="1.6694464206695556E-2"/>
    <x v="2"/>
  </r>
  <r>
    <x v="14"/>
    <n v="2173.9759374999999"/>
    <n v="24.17681689453125"/>
    <n v="21.133764648437499"/>
    <n v="0"/>
    <n v="0.7198156127929688"/>
    <x v="1"/>
  </r>
  <r>
    <x v="15"/>
    <n v="1341.3479374999999"/>
    <n v="1.0694690551757813"/>
    <n v="2.3936561889648438"/>
    <n v="1.4025365829467774E-2"/>
    <n v="0.42611791992187498"/>
    <x v="2"/>
  </r>
  <r>
    <x v="16"/>
    <n v="53.993978515625003"/>
    <n v="0.29998615264892581"/>
    <n v="2.1226251831054688"/>
    <n v="2.3974547366378828E-7"/>
    <n v="1.2096982479095459E-2"/>
    <x v="3"/>
  </r>
  <r>
    <x v="17"/>
    <n v="3530.51"/>
    <n v="32.610009765625001"/>
    <n v="105.44081250000001"/>
    <n v="16.808600585937501"/>
    <n v="35.206167968750002"/>
    <x v="0"/>
  </r>
  <r>
    <x v="18"/>
    <n v="149.015046875"/>
    <n v="3.0654530029296874"/>
    <n v="6.0604818344116212E-2"/>
    <n v="0.98959606933593747"/>
    <n v="3.1051019287109374"/>
    <x v="3"/>
  </r>
  <r>
    <x v="19"/>
    <n v="2301.2600000000002"/>
    <n v="62.47352734375"/>
    <n v="11.652172363281251"/>
    <n v="0"/>
    <n v="14.33334814453125"/>
    <x v="3"/>
  </r>
  <r>
    <x v="20"/>
    <n v="627.95359374999998"/>
    <n v="3.8794519042968751"/>
    <n v="0.36398936271667481"/>
    <n v="1.878994032740593E-4"/>
    <n v="0.22124397277832031"/>
    <x v="1"/>
  </r>
  <r>
    <x v="21"/>
    <n v="893.87209374999998"/>
    <n v="16.855457031250001"/>
    <n v="451.41114062499997"/>
    <n v="2.6466959953308104E-2"/>
    <n v="1.0159738464355468"/>
    <x v="1"/>
  </r>
  <r>
    <x v="22"/>
    <n v="35896.046000000002"/>
    <n v="260.85424999999998"/>
    <n v="485.19037500000002"/>
    <n v="3.2206883206963542E-2"/>
    <n v="24.959919921874999"/>
    <x v="1"/>
  </r>
  <r>
    <x v="23"/>
    <n v="41.511806640624997"/>
    <n v="0.32341655731201174"/>
    <n v="0.31154148101806639"/>
    <n v="2.0127404212951661E-2"/>
    <n v="7.8986804962158208E-2"/>
    <x v="2"/>
  </r>
  <r>
    <x v="24"/>
    <n v="1426.1166874999999"/>
    <n v="4.6305134277343747"/>
    <n v="0.61466966247558597"/>
    <n v="2.1764837205410003E-5"/>
    <n v="0.24158842468261718"/>
    <x v="1"/>
  </r>
  <r>
    <x v="25"/>
    <n v="7402.2034999999996"/>
    <n v="178.19678515625"/>
    <n v="254.125984375"/>
    <n v="2.2548005371093751"/>
    <n v="85.682921875000005"/>
    <x v="0"/>
  </r>
  <r>
    <x v="26"/>
    <n v="4587.6342500000001"/>
    <n v="139.7872265625"/>
    <n v="334.08443749999998"/>
    <n v="0.81280007934570309"/>
    <n v="46.831130859375001"/>
    <x v="0"/>
  </r>
  <r>
    <x v="27"/>
    <n v="5002.9939999999997"/>
    <n v="234.903859375"/>
    <n v="268.27315625"/>
    <n v="5.48290576171875"/>
    <n v="33.951269531249999"/>
    <x v="0"/>
  </r>
  <r>
    <x v="28"/>
    <n v="7969.0280000000002"/>
    <n v="94.432277343750002"/>
    <n v="1151.38096875"/>
    <n v="1.6662411499023437"/>
    <n v="149.5559453125"/>
    <x v="3"/>
  </r>
  <r>
    <x v="29"/>
    <n v="3684.7823749999998"/>
    <n v="1.0915123901367187"/>
    <n v="15.156132324218749"/>
    <n v="4.8545559402555226E-6"/>
    <n v="0.75052969360351562"/>
    <x v="2"/>
  </r>
  <r>
    <x v="30"/>
    <n v="85.156992187499995"/>
    <n v="5.6487204589843749"/>
    <n v="0.18309889984130859"/>
    <n v="4.0278624267578129"/>
    <n v="5.1764489746093751"/>
    <x v="3"/>
  </r>
  <r>
    <x v="31"/>
    <n v="2273.3253749999999"/>
    <n v="58.996285156250003"/>
    <n v="303.06103906250002"/>
    <n v="103.58569921874999"/>
    <n v="156.8571484375"/>
    <x v="0"/>
  </r>
  <r>
    <x v="32"/>
    <n v="5889.1970000000001"/>
    <n v="158.57496093750001"/>
    <n v="347.66253124999997"/>
    <n v="387.97085937499997"/>
    <n v="559.29248437499996"/>
    <x v="0"/>
  </r>
  <r>
    <x v="33"/>
    <n v="2095.3583749999998"/>
    <n v="6.6948117675781251"/>
    <n v="13.110295043945312"/>
    <n v="2.2349518723785878E-5"/>
    <n v="0.8044686889648438"/>
    <x v="1"/>
  </r>
  <r>
    <x v="34"/>
    <n v="200524.23199999999"/>
    <n v="3728.24575"/>
    <n v="671.25564062499996"/>
    <n v="153.74502343750001"/>
    <n v="504.89215625000003"/>
    <x v="4"/>
  </r>
  <r>
    <x v="35"/>
    <n v="8483.39725"/>
    <n v="62.317466796875003"/>
    <n v="164.95064453124999"/>
    <n v="0"/>
    <n v="5.2650947265625003"/>
    <x v="1"/>
  </r>
  <r>
    <x v="36"/>
    <n v="194.00621874999999"/>
    <n v="1.6203544921874999"/>
    <n v="0.28824009704589842"/>
    <n v="9.1591425781249995"/>
    <n v="11.111252929687501"/>
    <x v="0"/>
  </r>
  <r>
    <x v="37"/>
    <n v="1296.7646875"/>
    <n v="48.300921875"/>
    <n v="211.348890625"/>
    <n v="5.7151953124999997"/>
    <n v="22.198087890625001"/>
    <x v="3"/>
  </r>
  <r>
    <x v="38"/>
    <n v="532.43617187500001"/>
    <n v="1.0524429321289062"/>
    <n v="4.518768310546875"/>
    <n v="3.6722092190757394E-6"/>
    <n v="0.25931892395019529"/>
    <x v="1"/>
  </r>
  <r>
    <x v="39"/>
    <n v="697.72703124999998"/>
    <n v="2.4917594604492188"/>
    <n v="7.0274099349975583E-2"/>
    <n v="3.0217658663168549E-2"/>
    <n v="0.25570389556884765"/>
    <x v="2"/>
  </r>
  <r>
    <x v="40"/>
    <n v="1567.4762499999999"/>
    <n v="0.77725761413574224"/>
    <n v="4.1484521484375003"/>
    <n v="5.9439206961542365E-7"/>
    <n v="0.58400244140625002"/>
    <x v="1"/>
  </r>
  <r>
    <x v="41"/>
    <n v="99.3025234375"/>
    <n v="6.8524971008300781E-2"/>
    <n v="8.8257460594177245E-2"/>
    <n v="2.1311788260936737E-4"/>
    <n v="5.2781911849975584E-2"/>
    <x v="2"/>
  </r>
  <r>
    <x v="42"/>
    <n v="1460.5018124999999"/>
    <n v="0.9871893920898438"/>
    <n v="0.4997630386352539"/>
    <n v="4.5878847122192382E-2"/>
    <n v="0.51658941650390622"/>
    <x v="2"/>
  </r>
  <r>
    <x v="43"/>
    <n v="11110.575000000001"/>
    <n v="315.06225781249998"/>
    <n v="1274.0509999999999"/>
    <n v="354.4735"/>
    <n v="540.81709375000003"/>
    <x v="3"/>
  </r>
  <r>
    <x v="44"/>
    <n v="5113.9840000000004"/>
    <n v="62.866265624999997"/>
    <n v="2.2401040344238283"/>
    <n v="2.5931423339843751"/>
    <n v="50.865431640624998"/>
    <x v="0"/>
  </r>
  <r>
    <x v="45"/>
    <n v="37312.69"/>
    <n v="842.414625"/>
    <n v="2149.0726875"/>
    <n v="525.83570312500001"/>
    <n v="1319.2300625"/>
    <x v="0"/>
  </r>
  <r>
    <x v="46"/>
    <n v="726.51834374999999"/>
    <n v="0.38873008728027342"/>
    <n v="0.98303277587890625"/>
    <n v="3.2700975239276887E-4"/>
    <n v="0.25325089263916017"/>
    <x v="2"/>
  </r>
  <r>
    <x v="47"/>
    <n v="280.00243749999998"/>
    <n v="22.670415527343749"/>
    <n v="25.7822109375"/>
    <n v="3.3317878417968751"/>
    <n v="7.9768427734375003"/>
    <x v="3"/>
  </r>
  <r>
    <x v="48"/>
    <n v="1986.4086875"/>
    <n v="26.8488095703125"/>
    <n v="117.35088671875"/>
    <n v="1.5408029407262803E-4"/>
    <n v="5.4532275390624996"/>
    <x v="1"/>
  </r>
  <r>
    <x v="49"/>
    <n v="2288.1005"/>
    <n v="70.672746093750007"/>
    <n v="35.992606445312497"/>
    <n v="0"/>
    <n v="10.233211425781249"/>
    <x v="1"/>
  </r>
  <r>
    <x v="50"/>
    <n v="13317.610500000001"/>
    <n v="49.511873046875003"/>
    <n v="10.756077392578124"/>
    <n v="7.62274169921875"/>
    <n v="46.8000859375"/>
    <x v="3"/>
  </r>
  <r>
    <x v="51"/>
    <n v="1240.706375"/>
    <n v="10.54307373046875"/>
    <n v="44.135817382812498"/>
    <n v="1.3186885043978691E-6"/>
    <n v="0.55206469726562502"/>
    <x v="3"/>
  </r>
  <r>
    <x v="52"/>
    <n v="267.07665624999998"/>
    <n v="4.8010933837890626"/>
    <n v="19.547301757812502"/>
    <n v="9.8511791992187501"/>
    <n v="15.219791992187499"/>
    <x v="2"/>
  </r>
  <r>
    <x v="53"/>
    <n v="1195.3518125000001"/>
    <n v="57.729880859375001"/>
    <n v="59.976271484374998"/>
    <n v="13.11692724609375"/>
    <n v="31.802615234375001"/>
    <x v="0"/>
  </r>
  <r>
    <x v="54"/>
    <n v="254.83308593749999"/>
    <n v="2.0232956237792967"/>
    <n v="2.6219498291015624"/>
    <n v="1.4801869541406632E-4"/>
    <n v="6.839399337768555E-2"/>
    <x v="2"/>
  </r>
  <r>
    <x v="55"/>
    <n v="36594.817999999999"/>
    <n v="1255.7192500000001"/>
    <n v="2530.2752500000001"/>
    <n v="119.39628515625"/>
    <n v="814.78678124999999"/>
    <x v="0"/>
  </r>
  <r>
    <x v="56"/>
    <n v="146.08504687499999"/>
    <n v="0.48304398345947264"/>
    <n v="0.44019108581542971"/>
    <n v="9.1503710746765141E-3"/>
    <n v="0.19429531860351562"/>
    <x v="1"/>
  </r>
  <r>
    <x v="57"/>
    <n v="690.75428124999996"/>
    <n v="0.49096957397460939"/>
    <n v="0.31455935668945312"/>
    <n v="4.5092472434043882E-4"/>
    <n v="0.22427942657470704"/>
    <x v="2"/>
  </r>
  <r>
    <x v="58"/>
    <n v="7433.9517500000002"/>
    <n v="6.348236083984375"/>
    <n v="35.211750000000002"/>
    <n v="8.9266563415527342E-2"/>
    <n v="3.9484626464843751"/>
    <x v="2"/>
  </r>
  <r>
    <x v="59"/>
    <n v="400.21559374999998"/>
    <n v="12.86731884765625"/>
    <n v="80.8263828125"/>
    <n v="0.67981817626953123"/>
    <n v="4.4449591064453129"/>
    <x v="1"/>
  </r>
  <r>
    <x v="60"/>
    <n v="566.03112499999997"/>
    <n v="15.4748271484375"/>
    <n v="13.4273056640625"/>
    <n v="1.6173719482421876"/>
    <n v="3.5394912109374999"/>
    <x v="0"/>
  </r>
  <r>
    <x v="61"/>
    <n v="709.84362499999997"/>
    <n v="12.46268310546875"/>
    <n v="0.85331642150878906"/>
    <n v="0.39035137939453124"/>
    <n v="0.65820156860351564"/>
    <x v="3"/>
  </r>
  <r>
    <x v="62"/>
    <n v="10358.207"/>
    <n v="5.2293223876953121"/>
    <n v="15.962063720703124"/>
    <n v="3.2414955139160158E-2"/>
    <n v="2.92926904296875"/>
    <x v="2"/>
  </r>
  <r>
    <x v="63"/>
    <n v="7530.4629999999997"/>
    <n v="240.58953906249999"/>
    <n v="571.62601562500004"/>
    <n v="31.902818359375001"/>
    <n v="92.446136718749997"/>
    <x v="3"/>
  </r>
  <r>
    <x v="64"/>
    <n v="1310.2755"/>
    <n v="1.1120499267578126"/>
    <n v="1.6271518554687501"/>
    <n v="0"/>
    <n v="0.52914849853515622"/>
    <x v="2"/>
  </r>
  <r>
    <x v="65"/>
    <n v="19.768229492187501"/>
    <n v="2.2384153008460999E-3"/>
    <n v="0.44306425476074218"/>
    <n v="1.6665587310171758E-10"/>
    <n v="1.0279147148132325E-2"/>
    <x v="1"/>
  </r>
  <r>
    <x v="66"/>
    <n v="2730.4868750000001"/>
    <n v="32.599154296875"/>
    <n v="61.301826171875"/>
    <n v="9.3789663314819329E-3"/>
    <n v="17.927411132812502"/>
    <x v="3"/>
  </r>
  <r>
    <x v="67"/>
    <n v="3929.5553749999999"/>
    <n v="103.907"/>
    <n v="111.55594140625"/>
    <n v="6.6452871093750003"/>
    <n v="113.6923984375"/>
    <x v="0"/>
  </r>
  <r>
    <x v="68"/>
    <n v="925.43406249999998"/>
    <n v="12.3839873046875"/>
    <n v="27.893473632812501"/>
    <n v="24.113643554687499"/>
    <n v="38.155898437499999"/>
    <x v="0"/>
  </r>
  <r>
    <x v="69"/>
    <n v="204.4472578125"/>
    <n v="2.4379697875976563"/>
    <n v="17.618287109375"/>
    <n v="7.9139738227240737E-7"/>
    <n v="4.0589099884033204E-2"/>
    <x v="3"/>
  </r>
  <r>
    <x v="70"/>
    <n v="3377.0591250000002"/>
    <n v="102.9273203125"/>
    <n v="230.74131249999999"/>
    <n v="0"/>
    <n v="95.380867187500002"/>
    <x v="0"/>
  </r>
  <r>
    <x v="71"/>
    <n v="1341.0476249999999"/>
    <n v="14.5343544921875"/>
    <n v="60.964646484375002"/>
    <n v="1.2299892026931047E-5"/>
    <n v="0.76161831665039059"/>
    <x v="3"/>
  </r>
  <r>
    <x v="72"/>
    <n v="1814.3715"/>
    <n v="4.8518975830078128"/>
    <n v="0.57989949035644528"/>
    <n v="0"/>
    <n v="0.42650033569335938"/>
    <x v="2"/>
  </r>
  <r>
    <x v="73"/>
    <n v="28.714152343750001"/>
    <n v="1.6377382278442383E-2"/>
    <n v="0.10670727920532226"/>
    <n v="1.1461796760559083E-3"/>
    <n v="9.5544285774230957E-3"/>
    <x v="2"/>
  </r>
  <r>
    <x v="74"/>
    <n v="305111.87199999997"/>
    <n v="7286.1409999999996"/>
    <n v="3851.9034999999999"/>
    <n v="4994.0092500000001"/>
    <n v="10569.816500000001"/>
    <x v="4"/>
  </r>
  <r>
    <x v="75"/>
    <n v="53248.826000000001"/>
    <n v="2561.7368124999998"/>
    <n v="40.750691894531251"/>
    <n v="956.25337500000001"/>
    <n v="1162.1131875000001"/>
    <x v="4"/>
  </r>
  <r>
    <x v="76"/>
    <n v="12029.0715"/>
    <n v="53.257615234375002"/>
    <n v="57.06040625"/>
    <n v="0.26153715515136716"/>
    <n v="7.2571445312499998"/>
    <x v="1"/>
  </r>
  <r>
    <x v="77"/>
    <n v="14563.75"/>
    <n v="67.841171875000001"/>
    <n v="0.29411494445800779"/>
    <n v="5.7348430175781253"/>
    <n v="63.904007812499998"/>
    <x v="3"/>
  </r>
  <r>
    <x v="78"/>
    <n v="475.58146875"/>
    <n v="0.38154891967773436"/>
    <n v="1.2536419372558594"/>
    <n v="0"/>
    <n v="0.2641600036621094"/>
    <x v="2"/>
  </r>
  <r>
    <x v="79"/>
    <n v="659.41609374999996"/>
    <n v="0.49189735412597657"/>
    <n v="1.3448077392578126"/>
    <n v="8.3405008316040034E-3"/>
    <n v="0.57483386230468747"/>
    <x v="2"/>
  </r>
  <r>
    <x v="80"/>
    <n v="6575.3267500000002"/>
    <n v="3.6906689453124999"/>
    <n v="36.174108398437497"/>
    <n v="0.24737165832519531"/>
    <n v="1.0180510559082032"/>
    <x v="2"/>
  </r>
  <r>
    <x v="81"/>
    <n v="434.81132812499999"/>
    <n v="0.48174736022949216"/>
    <n v="33.936215820312498"/>
    <n v="0"/>
    <n v="0.40445404052734374"/>
    <x v="1"/>
  </r>
  <r>
    <x v="82"/>
    <n v="12996.842000000001"/>
    <n v="33.028490234374999"/>
    <n v="2.5678133544921873"/>
    <n v="0.16745998382568358"/>
    <n v="4.9704526367187496"/>
    <x v="2"/>
  </r>
  <r>
    <x v="83"/>
    <n v="802.12112500000001"/>
    <n v="0.70789486694335935"/>
    <n v="0.86903797912597658"/>
    <n v="4.0746395111083987E-2"/>
    <n v="0.72828842163085938"/>
    <x v="1"/>
  </r>
  <r>
    <x v="84"/>
    <n v="4166.9882500000003"/>
    <n v="68.926392578125004"/>
    <n v="10.350452880859375"/>
    <n v="0.17617557525634767"/>
    <n v="1.9737754516601562"/>
    <x v="1"/>
  </r>
  <r>
    <x v="85"/>
    <n v="14720.223"/>
    <n v="708.10673437499997"/>
    <n v="3567.455125"/>
    <n v="49.63741796875"/>
    <n v="205.66478125"/>
    <x v="0"/>
  </r>
  <r>
    <x v="86"/>
    <n v="257.22184375000001"/>
    <n v="0.59956030273437499"/>
    <n v="0.89484523391723636"/>
    <n v="4.6396082639694211E-4"/>
    <n v="4.9015619277954101E-2"/>
    <x v="2"/>
  </r>
  <r>
    <x v="87"/>
    <n v="1188.499875"/>
    <n v="22.927340820312502"/>
    <n v="1.6249212951660157"/>
    <n v="8.548934936523438E-3"/>
    <n v="0.3615921173095703"/>
    <x v="0"/>
  </r>
  <r>
    <x v="88"/>
    <n v="1627.7426250000001"/>
    <n v="31.448244140625"/>
    <n v="2.3977827148437498"/>
    <n v="46.619087890625003"/>
    <n v="61.188167968750001"/>
    <x v="3"/>
  </r>
  <r>
    <x v="89"/>
    <n v="454.1534375"/>
    <n v="3.8104345703125002"/>
    <n v="2.7865091552734373"/>
    <n v="0"/>
    <n v="3.628062152862549E-2"/>
    <x v="1"/>
  </r>
  <r>
    <x v="90"/>
    <n v="720.05109374999995"/>
    <n v="1.1180945434570313"/>
    <n v="4.8109068603515626"/>
    <n v="1.3998537540435792E-2"/>
    <n v="0.60554806518554682"/>
    <x v="1"/>
  </r>
  <r>
    <x v="91"/>
    <n v="809.1964375"/>
    <n v="15.5753876953125"/>
    <n v="459.73025000000001"/>
    <n v="7.6719364166259768E-2"/>
    <n v="6.1855087890625002"/>
    <x v="3"/>
  </r>
  <r>
    <x v="92"/>
    <n v="2352.0162500000001"/>
    <n v="46.763302734375003"/>
    <n v="56.843224609375"/>
    <n v="114.59364062500001"/>
    <n v="166.39727343749999"/>
    <x v="0"/>
  </r>
  <r>
    <x v="93"/>
    <n v="835.92128124999999"/>
    <n v="2.3822408447265624"/>
    <n v="10.464094604492187"/>
    <n v="0.27638183593749999"/>
    <n v="1.0509008789062499"/>
    <x v="1"/>
  </r>
  <r>
    <x v="94"/>
    <n v="633.01437499999997"/>
    <n v="5.9739677124023434"/>
    <n v="0.95543630981445316"/>
    <n v="6.9494944810867304E-4"/>
    <n v="0.16304161834716796"/>
    <x v="1"/>
  </r>
  <r>
    <x v="95"/>
    <n v="55.831218749999998"/>
    <n v="3.1130450248718262E-2"/>
    <n v="9.4163347244262702E-2"/>
    <n v="4.2576586827635767E-5"/>
    <n v="1.5534003257751465E-2"/>
    <x v="2"/>
  </r>
  <r>
    <x v="96"/>
    <n v="6466.0529999999999"/>
    <n v="197.67192187500001"/>
    <n v="15.485051025390625"/>
    <n v="73.902949218749995"/>
    <n v="213.44053124999999"/>
    <x v="0"/>
  </r>
  <r>
    <x v="97"/>
    <n v="7574.924"/>
    <n v="157.76126562499999"/>
    <n v="1862.2006249999999"/>
    <n v="3.2344279785156251"/>
    <n v="45.075007812499997"/>
    <x v="0"/>
  </r>
  <r>
    <x v="98"/>
    <n v="3682.0927499999998"/>
    <n v="97.739226562499994"/>
    <n v="68.283009765624996"/>
    <n v="0.60247720336914068"/>
    <n v="6.3349899902343747"/>
    <x v="1"/>
  </r>
  <r>
    <x v="99"/>
    <n v="57.977076171874998"/>
    <n v="0.32356233215332031"/>
    <n v="1.6941016845703125"/>
    <n v="3.5277413368225097E-2"/>
    <n v="0.21660049438476561"/>
    <x v="1"/>
  </r>
  <r>
    <x v="100"/>
    <n v="7065.8649999999998"/>
    <n v="190.77727343750001"/>
    <n v="152.53074609375"/>
    <n v="2.1686186523437501"/>
    <n v="90.011363281249999"/>
    <x v="0"/>
  </r>
  <r>
    <x v="101"/>
    <n v="44.578703124999997"/>
    <n v="1.3019473552703857E-2"/>
    <n v="6.2088809013366698E-2"/>
    <n v="0"/>
    <n v="1.9334586143493652E-2"/>
    <x v="2"/>
  </r>
  <r>
    <x v="102"/>
    <n v="1029.8784375"/>
    <n v="46.894306640624997"/>
    <n v="14.203659667968751"/>
    <n v="16.298535156250001"/>
    <n v="39.987380859375001"/>
    <x v="3"/>
  </r>
  <r>
    <x v="103"/>
    <n v="206.74655468750001"/>
    <n v="0.66794184875488283"/>
    <n v="2.4563688964843751"/>
    <n v="9.7779117584228512E-2"/>
    <n v="0.22088890075683593"/>
    <x v="1"/>
  </r>
  <r>
    <x v="104"/>
    <n v="15192.736999999999"/>
    <n v="53.947027343750001"/>
    <n v="142.965220703125"/>
    <n v="6.146352767944336E-2"/>
    <n v="20.78939453125"/>
    <x v="1"/>
  </r>
  <r>
    <x v="105"/>
    <n v="16.465013671874999"/>
    <n v="0.17824674224853515"/>
    <n v="1.1319761633872986E-2"/>
    <n v="2.7872849464416503E-2"/>
    <n v="4.3265899658203127E-2"/>
    <x v="3"/>
  </r>
  <r>
    <x v="106"/>
    <n v="3.5684499511718748"/>
    <n v="1.8904153108596801E-3"/>
    <n v="3.1741242885589598E-2"/>
    <n v="5.1439857110381123E-5"/>
    <n v="8.8808685541152954E-4"/>
    <x v="2"/>
  </r>
  <r>
    <x v="107"/>
    <n v="520.10217187499995"/>
    <n v="9.9453325195312505"/>
    <n v="0.25102162647247317"/>
    <n v="0.58715573120117193"/>
    <n v="0.64651144409179684"/>
    <x v="3"/>
  </r>
  <r>
    <x v="108"/>
    <n v="5030.6262500000003"/>
    <n v="59.515271484374999"/>
    <n v="24.049413085937498"/>
    <n v="1.5242736206054688"/>
    <n v="41.400556640624998"/>
    <x v="3"/>
  </r>
  <r>
    <x v="109"/>
    <n v="9655.5030000000006"/>
    <n v="316.16108593749999"/>
    <n v="2166.8176874999999"/>
    <n v="18.265567382812499"/>
    <n v="115.48083203125"/>
    <x v="0"/>
  </r>
  <r>
    <x v="110"/>
    <n v="13710.572"/>
    <n v="225.56424999999999"/>
    <n v="589.50079687499999"/>
    <n v="121.1706796875"/>
    <n v="179.06957031249999"/>
    <x v="0"/>
  </r>
  <r>
    <x v="111"/>
    <n v="600.758375"/>
    <n v="17.630492675781252"/>
    <n v="283.73295312499999"/>
    <n v="1.0334275245666503E-2"/>
    <n v="2.8309594726562501"/>
    <x v="1"/>
  </r>
  <r>
    <x v="112"/>
    <n v="7837.1504999999997"/>
    <n v="144.68544140624999"/>
    <n v="19.647270996093749"/>
    <n v="85.955675781249994"/>
    <n v="165.55152343750001"/>
    <x v="0"/>
  </r>
  <r>
    <x v="113"/>
    <n v="1867.954375"/>
    <n v="0.91624987792968748"/>
    <n v="3.2068141479492187"/>
    <n v="5.6373653411865232E-2"/>
    <n v="1.3214063110351562"/>
    <x v="2"/>
  </r>
  <r>
    <x v="114"/>
    <n v="470.33212500000002"/>
    <n v="0.33018989562988282"/>
    <n v="0.30936098861694333"/>
    <n v="0"/>
    <n v="0.40631216430664063"/>
    <x v="2"/>
  </r>
  <r>
    <x v="115"/>
    <n v="941.34165625000003"/>
    <n v="9.5049348144531258"/>
    <n v="7.6778122558593749"/>
    <n v="0"/>
    <n v="6.5671855468749998"/>
    <x v="3"/>
  </r>
  <r>
    <x v="116"/>
    <n v="9995.2294999999995"/>
    <n v="118.47408593750001"/>
    <n v="80.565332031249994"/>
    <n v="170.29762500000001"/>
    <n v="389.70809374999999"/>
    <x v="0"/>
  </r>
  <r>
    <x v="117"/>
    <n v="77690.316000000006"/>
    <n v="2198.6662500000002"/>
    <n v="4860.2545"/>
    <n v="4141.7725"/>
    <n v="6342.4347500000003"/>
    <x v="4"/>
  </r>
  <r>
    <x v="118"/>
    <n v="543.35448437499997"/>
    <n v="0.23331359863281251"/>
    <n v="0.69809042358398432"/>
    <n v="1.8899247981607914E-5"/>
    <n v="0.23675361633300782"/>
    <x v="2"/>
  </r>
  <r>
    <x v="119"/>
    <n v="294.75342968749999"/>
    <n v="0.70601712036132813"/>
    <n v="1.6492896575927734"/>
    <n v="6.6061062812805176E-3"/>
    <n v="0.22499365234374999"/>
    <x v="2"/>
  </r>
  <r>
    <x v="120"/>
    <n v="40560.76"/>
    <n v="1446.1398125000001"/>
    <n v="101.569568359375"/>
    <n v="866.37046874999999"/>
    <n v="1820.1131875000001"/>
    <x v="4"/>
  </r>
  <r>
    <x v="121"/>
    <n v="466.59721875000002"/>
    <n v="2.2267882690429688"/>
    <n v="23.302902832031251"/>
    <n v="1.5764933195896447E-6"/>
    <n v="0.27708375549316405"/>
    <x v="1"/>
  </r>
  <r>
    <x v="122"/>
    <n v="1699.4130625"/>
    <n v="54.706654296875001"/>
    <n v="26.3179560546875"/>
    <n v="16.81471484375"/>
    <n v="38.404672851562502"/>
    <x v="3"/>
  </r>
  <r>
    <x v="123"/>
    <n v="974.72771875000001"/>
    <n v="14.361802246093751"/>
    <n v="17.899273925781252"/>
    <n v="0"/>
    <n v="1.2684061279296874"/>
    <x v="3"/>
  </r>
  <r>
    <x v="124"/>
    <n v="4764.1997499999998"/>
    <n v="105.06483203125001"/>
    <n v="123.84713671874999"/>
    <n v="0"/>
    <n v="22.058978515625"/>
    <x v="1"/>
  </r>
  <r>
    <x v="125"/>
    <n v="16179.663500000001"/>
    <n v="982.33262500000001"/>
    <n v="3.5863845825195311"/>
    <n v="18.931904296875"/>
    <n v="95.629609375000001"/>
    <x v="3"/>
  </r>
  <r>
    <x v="126"/>
    <n v="5703.0879999999997"/>
    <n v="14.7719140625"/>
    <n v="5.4754208984375001"/>
    <n v="3.7986007332801818E-4"/>
    <n v="1.7105703735351563"/>
    <x v="2"/>
  </r>
  <r>
    <x v="127"/>
    <n v="1425.7094999999999"/>
    <n v="4.9196107177734376"/>
    <n v="20.400465332031249"/>
    <n v="3.0797400511801245E-5"/>
    <n v="0.31858418273925782"/>
    <x v="2"/>
  </r>
  <r>
    <x v="128"/>
    <n v="78.72998046875"/>
    <n v="0.59649188232421879"/>
    <n v="0.88438423156738277"/>
    <n v="1.4856682300567628E-2"/>
    <n v="7.0831268310546869E-2"/>
    <x v="2"/>
  </r>
  <r>
    <x v="129"/>
    <n v="6164.7674999999999"/>
    <n v="58.312466796875"/>
    <n v="5.1307795410156247"/>
    <n v="1.4089756458997727E-4"/>
    <n v="0.78093353271484378"/>
    <x v="2"/>
  </r>
  <r>
    <x v="130"/>
    <n v="820.04346874999999"/>
    <n v="17.313113037109375"/>
    <n v="3.2386684570312498"/>
    <n v="6.7940706014633174E-4"/>
    <n v="0.22971371459960938"/>
    <x v="3"/>
  </r>
  <r>
    <x v="131"/>
    <n v="3842.1791250000001"/>
    <n v="47.875613281249997"/>
    <n v="11.42459716796875"/>
    <n v="0"/>
    <n v="1.4473108520507814"/>
    <x v="1"/>
  </r>
  <r>
    <x v="132"/>
    <n v="40347.872000000003"/>
    <n v="935.59640624999997"/>
    <n v="532.85657031250003"/>
    <n v="0.16226782608032225"/>
    <n v="5.2843957519531246"/>
    <x v="1"/>
  </r>
  <r>
    <x v="133"/>
    <n v="5404.41525"/>
    <n v="186.9339921875"/>
    <n v="557.48667187499996"/>
    <n v="10.98536181640625"/>
    <n v="39.834314453125003"/>
    <x v="0"/>
  </r>
  <r>
    <x v="134"/>
    <n v="24.8474462890625"/>
    <n v="2.5058988571166993E-2"/>
    <n v="0.23798558807373046"/>
    <n v="3.3813255129189201E-10"/>
    <n v="2.6769991397857667E-2"/>
    <x v="1"/>
  </r>
  <r>
    <x v="135"/>
    <n v="22.210418945312501"/>
    <n v="4.7055088043212893E-2"/>
    <n v="1.5398036499023438"/>
    <n v="7.6475214882520964E-8"/>
    <n v="9.0543365478515624E-3"/>
    <x v="1"/>
  </r>
  <r>
    <x v="136"/>
    <n v="30.727201171874999"/>
    <n v="0.12093446731567382"/>
    <n v="1.8288445472717286E-2"/>
    <n v="0.11736339569091797"/>
    <n v="0.15660741806030273"/>
    <x v="3"/>
  </r>
  <r>
    <x v="137"/>
    <n v="3.1679919433593748"/>
    <n v="4.8380543291568759E-4"/>
    <n v="4.5779676437377927E-3"/>
    <n v="2.0738776074722411E-6"/>
    <n v="1.1756631731986999E-3"/>
    <x v="2"/>
  </r>
  <r>
    <x v="138"/>
    <n v="50.667634765625003"/>
    <n v="1.6122741088867187"/>
    <n v="4.4310113906860349E-2"/>
    <n v="2.0828974609375002"/>
    <n v="2.4719266357421876"/>
    <x v="3"/>
  </r>
  <r>
    <x v="139"/>
    <n v="3561.4614999999999"/>
    <n v="29.479096679687501"/>
    <n v="2.5281782226562499"/>
    <n v="0.12198059844970703"/>
    <n v="3.9329635009765624"/>
    <x v="2"/>
  </r>
  <r>
    <x v="140"/>
    <n v="4481.8739999999998"/>
    <n v="157.27703906249999"/>
    <n v="50.178560546874998"/>
    <n v="32.836164062500004"/>
    <n v="91.459894531250001"/>
    <x v="3"/>
  </r>
  <r>
    <x v="141"/>
    <n v="1767.0054375"/>
    <n v="5.6217476806640629"/>
    <n v="2.5435823974609373"/>
    <n v="2.060820484161377E-2"/>
    <n v="0.68761074829101565"/>
    <x v="1"/>
  </r>
  <r>
    <x v="142"/>
    <n v="4444.02225"/>
    <n v="142.55344140624999"/>
    <n v="86.414863281250007"/>
    <n v="23.579233398437498"/>
    <n v="85.982339843749997"/>
    <x v="0"/>
  </r>
  <r>
    <x v="143"/>
    <n v="450.59834375000003"/>
    <n v="1.650521484375"/>
    <n v="2.2305242309570312"/>
    <n v="7.5629323720932012E-4"/>
    <n v="0.15807688903808595"/>
    <x v="2"/>
  </r>
  <r>
    <x v="144"/>
    <n v="826.30140625000001"/>
    <n v="1.0277832641601563"/>
    <n v="0.15116485595703125"/>
    <n v="4.3602470308542254E-5"/>
    <n v="0.21788767242431642"/>
    <x v="2"/>
  </r>
  <r>
    <x v="145"/>
    <n v="279.65192187500003"/>
    <n v="0.27293083190917966"/>
    <n v="8.8766645908355715E-2"/>
    <n v="1.9952730536460877E-3"/>
    <n v="0.10751518630981445"/>
    <x v="2"/>
  </r>
  <r>
    <x v="146"/>
    <n v="88.745925781249994"/>
    <n v="2.1605541381835938"/>
    <n v="4.3182063102722171E-2"/>
    <n v="0.32492759704589846"/>
    <n v="0.91630194091796879"/>
    <x v="3"/>
  </r>
  <r>
    <x v="147"/>
    <n v="5472.4775"/>
    <n v="101.55002734375"/>
    <n v="35.416080078124999"/>
    <n v="367.31956250000002"/>
    <n v="565.39300000000003"/>
    <x v="0"/>
  </r>
  <r>
    <x v="148"/>
    <n v="20988.18"/>
    <n v="1142.7541874999999"/>
    <n v="8545.3957499999997"/>
    <n v="4.4974746093749998"/>
    <n v="41.815144531249999"/>
    <x v="1"/>
  </r>
  <r>
    <x v="149"/>
    <n v="4858.1615000000002"/>
    <n v="6.4726873779296872"/>
    <n v="47.356250000000003"/>
    <n v="3.5279734373092654E-2"/>
    <n v="2.9500092773437498"/>
    <x v="2"/>
  </r>
  <r>
    <x v="150"/>
    <n v="4668.7667499999998"/>
    <n v="46.150761718749997"/>
    <n v="3.7941782836914064"/>
    <n v="0.51691091918945309"/>
    <n v="2.6864356689453124"/>
    <x v="3"/>
  </r>
  <r>
    <x v="151"/>
    <n v="14016.941500000001"/>
    <n v="523.07737499999996"/>
    <n v="626.73471874999996"/>
    <n v="160.27742187499999"/>
    <n v="446.37126562499998"/>
    <x v="3"/>
  </r>
  <r>
    <x v="152"/>
    <n v="95.478449218750001"/>
    <n v="0.24616070556640626"/>
    <n v="5.0044631347656248"/>
    <n v="1.8585025682114064E-6"/>
    <n v="4.3692541122436521E-2"/>
    <x v="1"/>
  </r>
  <r>
    <x v="153"/>
    <n v="566.64765624999995"/>
    <n v="20.306925292968749"/>
    <n v="268.55494531250002"/>
    <n v="0.20102362060546874"/>
    <n v="1.818377685546875"/>
    <x v="3"/>
  </r>
  <r>
    <x v="154"/>
    <n v="1032.7619374999999"/>
    <n v="0.4819955749511719"/>
    <n v="2.1567775268554685"/>
    <n v="1.9196792244911194E-3"/>
    <n v="0.48279507446289061"/>
    <x v="2"/>
  </r>
  <r>
    <x v="155"/>
    <n v="794.27203125000005"/>
    <n v="0.27619190979003905"/>
    <n v="4.8218170166015621"/>
    <n v="4.0119430422782897E-4"/>
    <n v="0.30197140502929687"/>
    <x v="2"/>
  </r>
  <r>
    <x v="156"/>
    <n v="2511.9746249999998"/>
    <n v="24.010694335937501"/>
    <n v="0.25404444885253907"/>
    <n v="0.17508959197998047"/>
    <n v="4.2146781005859371"/>
    <x v="3"/>
  </r>
  <r>
    <x v="157"/>
    <n v="1616.83025"/>
    <n v="45.686039062500001"/>
    <n v="5.1501297607421872"/>
    <n v="6.5694401264190672E-3"/>
    <n v="1.1036435546875001"/>
    <x v="0"/>
  </r>
  <r>
    <x v="158"/>
    <n v="12841.708000000001"/>
    <n v="312.85348437499999"/>
    <n v="1578.9015625"/>
    <n v="0.47947427368164064"/>
    <n v="11.69173046875"/>
    <x v="1"/>
  </r>
  <r>
    <x v="159"/>
    <n v="340.62239062499998"/>
    <n v="1.4547972717285156"/>
    <n v="0.11908265161514282"/>
    <n v="9.9155483767390247E-6"/>
    <n v="8.3589141845703124E-2"/>
    <x v="1"/>
  </r>
  <r>
    <x v="160"/>
    <n v="284.65744531249999"/>
    <n v="17.642068359374999"/>
    <n v="0.2098570213317871"/>
    <n v="1.7271062622070312"/>
    <n v="4.5563139648437501"/>
    <x v="3"/>
  </r>
  <r>
    <x v="161"/>
    <n v="2539.8822500000001"/>
    <n v="130.91545703125001"/>
    <n v="232.73860156250001"/>
    <n v="1.2260774536132812"/>
    <n v="51.517744140624998"/>
    <x v="0"/>
  </r>
  <r>
    <x v="162"/>
    <n v="14.66451416015625"/>
    <n v="6.9189159393310551E-2"/>
    <n v="8.0498369932174678E-3"/>
    <n v="0.10604257583618164"/>
    <n v="0.13106696701049805"/>
    <x v="3"/>
  </r>
  <r>
    <x v="163"/>
    <n v="260.15463281249998"/>
    <n v="0.48697560882568358"/>
    <n v="18.480559570312501"/>
    <n v="1.4444273983826862E-7"/>
    <n v="7.5252923965454105E-2"/>
    <x v="2"/>
  </r>
  <r>
    <x v="164"/>
    <n v="1464.6466250000001"/>
    <n v="7.0031503906249997"/>
    <n v="4.4368598632812501"/>
    <n v="2.9796019554138183E-2"/>
    <n v="1.4141637573242187"/>
    <x v="1"/>
  </r>
  <r>
    <x v="165"/>
    <n v="10981.157499999999"/>
    <n v="68.931371093750002"/>
    <n v="3.584660217285156"/>
    <n v="10.490402832031251"/>
    <n v="22.004966796874999"/>
    <x v="1"/>
  </r>
  <r>
    <x v="166"/>
    <n v="1254.415125"/>
    <n v="12.844356201171875"/>
    <n v="1.3278348388671875"/>
    <n v="7.0516555786132806E-2"/>
    <n v="1.4877181091308593"/>
    <x v="3"/>
  </r>
  <r>
    <x v="167"/>
    <n v="14145.8325"/>
    <n v="429.12453125000002"/>
    <n v="2648.5574999999999"/>
    <n v="2.9094635009765626"/>
    <n v="129.04372265625"/>
    <x v="0"/>
  </r>
  <r>
    <x v="168"/>
    <n v="11200.423500000001"/>
    <n v="252.75468749999999"/>
    <n v="361.82218749999998"/>
    <n v="0"/>
    <n v="2.0034104003906248"/>
    <x v="3"/>
  </r>
  <r>
    <x v="169"/>
    <n v="396.13094531249999"/>
    <n v="2.1692659912109375"/>
    <n v="3.3222131042480467"/>
    <n v="1.1618999481201172E-2"/>
    <n v="0.41079974365234373"/>
    <x v="2"/>
  </r>
  <r>
    <x v="170"/>
    <n v="7718.33475"/>
    <n v="5.9946064453124999"/>
    <n v="20.1488544921875"/>
    <n v="1.072804480791092E-2"/>
    <n v="3.5156033935546875"/>
    <x v="2"/>
  </r>
  <r>
    <x v="171"/>
    <n v="18189.288"/>
    <n v="493.01646875"/>
    <n v="3275.7601249999998"/>
    <n v="9.3464497070312493"/>
    <n v="107.53888281250001"/>
    <x v="0"/>
  </r>
  <r>
    <x v="172"/>
    <n v="41372.129999999997"/>
    <n v="9.100084716796875"/>
    <n v="367.68142968749999"/>
    <n v="3.5106848180294038E-4"/>
    <n v="18.715076171875001"/>
    <x v="2"/>
  </r>
  <r>
    <x v="173"/>
    <n v="539.95437500000003"/>
    <n v="10.991144531250001"/>
    <n v="5.9505793457031251"/>
    <n v="0"/>
    <n v="0.20990338134765624"/>
    <x v="1"/>
  </r>
  <r>
    <x v="174"/>
    <n v="5155.0372500000003"/>
    <n v="104.211669921875"/>
    <n v="7.774946044921875"/>
    <n v="0.23015960693359375"/>
    <n v="3.6970159912109377"/>
    <x v="3"/>
  </r>
  <r>
    <x v="175"/>
    <n v="37.329132812499999"/>
    <n v="0.50181124877929684"/>
    <n v="5.8810145854949949E-3"/>
    <n v="0.58511108398437495"/>
    <n v="0.80788302612304685"/>
    <x v="3"/>
  </r>
  <r>
    <x v="176"/>
    <n v="4217.5611250000002"/>
    <n v="13.935244628906251"/>
    <n v="58.8725400390625"/>
    <n v="3.6345522850751876E-5"/>
    <n v="4.0270100097656254"/>
    <x v="1"/>
  </r>
  <r>
    <x v="177"/>
    <n v="12849.876"/>
    <n v="394.03754687499998"/>
    <n v="397.61335156249999"/>
    <n v="7.826359375"/>
    <n v="21.588275390625"/>
    <x v="3"/>
  </r>
  <r>
    <x v="178"/>
    <n v="7275.9622499999996"/>
    <n v="51.790828124999997"/>
    <n v="7.4086363525390624"/>
    <n v="108.71645703125"/>
    <n v="174.000015625"/>
    <x v="3"/>
  </r>
  <r>
    <x v="179"/>
    <n v="7043.5725000000002"/>
    <n v="171.28031640624999"/>
    <n v="2130.7063750000002"/>
    <n v="0.87812728881835933"/>
    <n v="33.808896484374998"/>
    <x v="3"/>
  </r>
  <r>
    <x v="180"/>
    <n v="8851.8724999999995"/>
    <n v="201.99884765625001"/>
    <n v="5009.5704999999998"/>
    <n v="0.88110046386718754"/>
    <n v="25.07275683593750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F9" firstHeaderRow="0" firstDataRow="1" firstDataCol="1"/>
  <pivotFields count="7">
    <pivotField showAll="0">
      <items count="18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43"/>
        <item x="39"/>
        <item x="40"/>
        <item x="41"/>
        <item x="42"/>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t="default"/>
      </items>
    </pivotField>
    <pivotField dataField="1" numFmtId="169" showAll="0"/>
    <pivotField dataField="1" numFmtId="169" showAll="0"/>
    <pivotField dataField="1" numFmtId="169" showAll="0"/>
    <pivotField dataField="1" numFmtId="169" showAll="0"/>
    <pivotField dataField="1" numFmtId="169" showAll="0"/>
    <pivotField axis="axisRow" showAll="0">
      <items count="6">
        <item x="2"/>
        <item x="0"/>
        <item x="3"/>
        <item x="4"/>
        <item x="1"/>
        <item t="default"/>
      </items>
    </pivotField>
  </pivotFields>
  <rowFields count="1">
    <field x="6"/>
  </rowFields>
  <rowItems count="6">
    <i>
      <x/>
    </i>
    <i>
      <x v="1"/>
    </i>
    <i>
      <x v="2"/>
    </i>
    <i>
      <x v="3"/>
    </i>
    <i>
      <x v="4"/>
    </i>
    <i t="grand">
      <x/>
    </i>
  </rowItems>
  <colFields count="1">
    <field x="-2"/>
  </colFields>
  <colItems count="5">
    <i>
      <x/>
    </i>
    <i i="1">
      <x v="1"/>
    </i>
    <i i="2">
      <x v="2"/>
    </i>
    <i i="3">
      <x v="3"/>
    </i>
    <i i="4">
      <x v="4"/>
    </i>
  </colItems>
  <dataFields count="5">
    <dataField name="DALYs, all causes" fld="1" baseField="6" baseItem="0"/>
    <dataField name="TB DALYs" fld="2" baseField="6" baseItem="0"/>
    <dataField name="HIV/AIDS DALYs" fld="3" baseField="0" baseItem="0"/>
    <dataField name="Measles DALYs" fld="4" baseField="0" baseItem="0"/>
    <dataField name="Total VPD DALYs" fld="5" baseField="0" baseItem="0"/>
  </dataFields>
  <formats count="1">
    <format dxfId="0">
      <pivotArea collapsedLevelsAreSubtotals="1" fieldPosition="0">
        <references count="1">
          <reference field="6" count="0"/>
        </references>
      </pivotArea>
    </format>
  </format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3.xml.rels><?xml version="1.0" encoding="UTF-8" standalone="yes"?>
<Relationships xmlns="http://schemas.openxmlformats.org/package/2006/relationships"><Relationship Id="rId3" Type="http://schemas.openxmlformats.org/officeDocument/2006/relationships/hyperlink" Target="http://apps.who.int/gho/indicatorregistry/App_Main/view_indicator.aspx?iid=109" TargetMode="External"/><Relationship Id="rId2" Type="http://schemas.openxmlformats.org/officeDocument/2006/relationships/hyperlink" Target="http://apps.who.int/gho/indicatorregistry/App_Main/view_indicator.aspx?iid=110" TargetMode="External"/><Relationship Id="rId1" Type="http://schemas.openxmlformats.org/officeDocument/2006/relationships/hyperlink" Target="http://apps.who.int/gho/indicatorregistry/App_Main/view_indicator.aspx?iid=111" TargetMode="External"/><Relationship Id="rId4" Type="http://schemas.openxmlformats.org/officeDocument/2006/relationships/hyperlink" Target="http://apps.who.int/gho/indicatorregistry/App_Main/view_indicator.aspx?iid=108" TargetMode="Externa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ivotTable" Target="../pivotTables/pivotTable1.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B1:AF210"/>
  <sheetViews>
    <sheetView zoomScale="90" zoomScaleNormal="90" workbookViewId="0">
      <selection activeCell="B18" sqref="B18"/>
    </sheetView>
  </sheetViews>
  <sheetFormatPr defaultColWidth="11.42578125" defaultRowHeight="15" x14ac:dyDescent="0.25"/>
  <cols>
    <col min="1" max="1" width="4.28515625" style="2" customWidth="1"/>
    <col min="2" max="2" width="37" style="2" customWidth="1"/>
    <col min="3" max="3" width="20" style="18" customWidth="1"/>
    <col min="4" max="4" width="20.42578125" style="18" customWidth="1"/>
    <col min="5" max="5" width="6.7109375" style="2" hidden="1" customWidth="1"/>
    <col min="6" max="6" width="8.140625" style="2" hidden="1" customWidth="1"/>
    <col min="7" max="11" width="10.28515625" style="2" hidden="1" customWidth="1"/>
    <col min="12" max="16" width="11.5703125" style="2" hidden="1" customWidth="1"/>
    <col min="17" max="21" width="12.42578125" style="2" hidden="1" customWidth="1"/>
    <col min="22" max="22" width="16" style="2" hidden="1" customWidth="1"/>
    <col min="23" max="23" width="17.5703125" style="2" hidden="1" customWidth="1"/>
    <col min="24" max="26" width="18.140625" style="2" hidden="1" customWidth="1"/>
    <col min="27" max="27" width="11.85546875" style="2" hidden="1" customWidth="1"/>
    <col min="28" max="28" width="11.42578125" style="2" hidden="1" customWidth="1"/>
    <col min="29" max="29" width="15.5703125" style="2" hidden="1" customWidth="1"/>
    <col min="30" max="30" width="11.42578125" customWidth="1"/>
    <col min="31" max="31" width="12.7109375" style="2" customWidth="1"/>
    <col min="32" max="16384" width="11.42578125" style="2"/>
  </cols>
  <sheetData>
    <row r="1" spans="2:32" x14ac:dyDescent="0.25">
      <c r="B1" s="38"/>
      <c r="C1" s="39"/>
      <c r="D1" s="39"/>
      <c r="E1" s="38"/>
      <c r="F1" s="38"/>
      <c r="G1" s="38"/>
      <c r="H1" s="38"/>
      <c r="I1" s="38"/>
      <c r="J1" s="38"/>
      <c r="K1" s="38"/>
      <c r="L1" s="38"/>
      <c r="M1" s="38"/>
      <c r="N1" s="38"/>
      <c r="O1" s="38"/>
      <c r="P1" s="38"/>
      <c r="Q1" s="38"/>
      <c r="R1" s="38"/>
      <c r="S1" s="38"/>
      <c r="T1" s="38"/>
      <c r="U1" s="38"/>
      <c r="V1" s="38"/>
      <c r="W1" s="37"/>
      <c r="X1" s="37"/>
      <c r="Y1" s="37"/>
      <c r="Z1" s="37"/>
    </row>
    <row r="2" spans="2:32" ht="47.25" customHeight="1" x14ac:dyDescent="0.25">
      <c r="B2" s="132" t="s">
        <v>597</v>
      </c>
      <c r="C2" s="132" t="s">
        <v>596</v>
      </c>
      <c r="D2" s="132" t="s">
        <v>595</v>
      </c>
      <c r="E2" s="132" t="s">
        <v>594</v>
      </c>
      <c r="F2" s="132" t="s">
        <v>593</v>
      </c>
      <c r="G2" s="135" t="s">
        <v>592</v>
      </c>
      <c r="H2" s="136"/>
      <c r="I2" s="136"/>
      <c r="J2" s="109"/>
      <c r="K2" s="109"/>
      <c r="L2" s="134" t="s">
        <v>591</v>
      </c>
      <c r="M2" s="134"/>
      <c r="N2" s="134"/>
      <c r="O2" s="108"/>
      <c r="P2" s="108"/>
      <c r="Q2" s="134" t="s">
        <v>590</v>
      </c>
      <c r="R2" s="134"/>
      <c r="S2" s="134"/>
      <c r="T2" s="108"/>
      <c r="U2" s="108"/>
      <c r="V2" s="134" t="s">
        <v>589</v>
      </c>
      <c r="W2" s="134"/>
      <c r="X2" s="134"/>
      <c r="Y2" s="108"/>
      <c r="Z2" s="108"/>
      <c r="AA2" s="134" t="s">
        <v>588</v>
      </c>
      <c r="AB2" s="134"/>
      <c r="AC2" s="134"/>
      <c r="AD2" t="s">
        <v>821</v>
      </c>
      <c r="AE2" s="2" t="s">
        <v>821</v>
      </c>
      <c r="AF2" s="2" t="s">
        <v>821</v>
      </c>
    </row>
    <row r="3" spans="2:32" ht="24" hidden="1" customHeight="1" x14ac:dyDescent="0.25">
      <c r="B3" s="133"/>
      <c r="C3" s="133"/>
      <c r="D3" s="133"/>
      <c r="E3" s="133"/>
      <c r="F3" s="133"/>
      <c r="G3" s="36" t="s">
        <v>587</v>
      </c>
      <c r="H3" s="36" t="s">
        <v>586</v>
      </c>
      <c r="I3" s="36" t="s">
        <v>585</v>
      </c>
      <c r="J3" s="107" t="s">
        <v>820</v>
      </c>
      <c r="K3" s="107" t="s">
        <v>819</v>
      </c>
      <c r="L3" s="35" t="s">
        <v>587</v>
      </c>
      <c r="M3" s="35" t="s">
        <v>586</v>
      </c>
      <c r="N3" s="35" t="s">
        <v>585</v>
      </c>
      <c r="O3" s="106" t="s">
        <v>820</v>
      </c>
      <c r="P3" s="106" t="s">
        <v>819</v>
      </c>
      <c r="Q3" s="35" t="s">
        <v>587</v>
      </c>
      <c r="R3" s="35" t="s">
        <v>586</v>
      </c>
      <c r="S3" s="35" t="s">
        <v>585</v>
      </c>
      <c r="T3" s="106">
        <v>2015</v>
      </c>
      <c r="U3" s="106">
        <v>2020</v>
      </c>
      <c r="V3" s="35" t="s">
        <v>587</v>
      </c>
      <c r="W3" s="35" t="s">
        <v>586</v>
      </c>
      <c r="X3" s="35" t="s">
        <v>585</v>
      </c>
      <c r="Y3" s="106" t="s">
        <v>820</v>
      </c>
      <c r="Z3" s="106" t="s">
        <v>819</v>
      </c>
      <c r="AA3" s="35" t="s">
        <v>587</v>
      </c>
      <c r="AB3" s="35" t="s">
        <v>586</v>
      </c>
      <c r="AC3" s="35" t="s">
        <v>585</v>
      </c>
      <c r="AD3" s="33" t="s">
        <v>586</v>
      </c>
      <c r="AE3" s="33" t="s">
        <v>585</v>
      </c>
      <c r="AF3" s="33" t="s">
        <v>818</v>
      </c>
    </row>
    <row r="4" spans="2:32" ht="24" hidden="1" customHeight="1" x14ac:dyDescent="0.25">
      <c r="B4" s="34"/>
      <c r="C4" s="34"/>
      <c r="D4" s="34"/>
      <c r="E4" s="34"/>
      <c r="F4" s="34"/>
      <c r="G4" s="33" t="s">
        <v>584</v>
      </c>
      <c r="H4" s="33" t="s">
        <v>583</v>
      </c>
      <c r="I4" s="33" t="s">
        <v>817</v>
      </c>
      <c r="J4" s="33"/>
      <c r="K4" s="33"/>
      <c r="L4" s="33" t="s">
        <v>582</v>
      </c>
      <c r="M4" s="33" t="s">
        <v>581</v>
      </c>
      <c r="N4" s="33" t="s">
        <v>580</v>
      </c>
      <c r="O4" s="33"/>
      <c r="P4" s="33"/>
      <c r="Q4" s="33" t="s">
        <v>579</v>
      </c>
      <c r="R4" s="33" t="s">
        <v>578</v>
      </c>
      <c r="S4" s="33" t="s">
        <v>577</v>
      </c>
      <c r="T4" s="33"/>
      <c r="U4" s="33"/>
      <c r="V4" s="33" t="s">
        <v>576</v>
      </c>
      <c r="W4" s="33" t="s">
        <v>575</v>
      </c>
      <c r="X4" s="33" t="s">
        <v>574</v>
      </c>
      <c r="Y4" s="33" t="s">
        <v>816</v>
      </c>
      <c r="Z4" s="33" t="s">
        <v>574</v>
      </c>
      <c r="AA4" s="33" t="s">
        <v>573</v>
      </c>
      <c r="AB4" s="33" t="s">
        <v>572</v>
      </c>
      <c r="AC4" s="33" t="s">
        <v>571</v>
      </c>
    </row>
    <row r="5" spans="2:32" hidden="1" x14ac:dyDescent="0.25">
      <c r="B5" s="32" t="s">
        <v>106</v>
      </c>
      <c r="C5" s="21" t="s">
        <v>570</v>
      </c>
      <c r="D5" s="21" t="s">
        <v>353</v>
      </c>
      <c r="E5" s="21"/>
      <c r="F5" s="20">
        <v>4</v>
      </c>
      <c r="G5" s="31">
        <v>51.569000000000003</v>
      </c>
      <c r="H5" s="31">
        <v>49.777999999999999</v>
      </c>
      <c r="I5" s="31">
        <v>46.613</v>
      </c>
      <c r="J5" s="31">
        <v>42.3</v>
      </c>
      <c r="K5" s="31">
        <v>39.6</v>
      </c>
      <c r="L5" s="31">
        <v>82.973399999999998</v>
      </c>
      <c r="M5" s="31">
        <v>83.219200000000001</v>
      </c>
      <c r="N5" s="31">
        <v>84.320400000000006</v>
      </c>
      <c r="O5" s="31">
        <f>100-12.5</f>
        <v>87.5</v>
      </c>
      <c r="P5" s="31">
        <f>100-12</f>
        <v>88</v>
      </c>
      <c r="Q5" s="31">
        <v>21884.322</v>
      </c>
      <c r="R5" s="31">
        <v>24865.172999999999</v>
      </c>
      <c r="S5" s="31">
        <v>28279.937999999998</v>
      </c>
      <c r="T5" s="31">
        <v>36735</v>
      </c>
      <c r="U5" s="31">
        <v>42141</v>
      </c>
      <c r="V5" s="31">
        <f t="shared" ref="V5:V36" si="0">+Q5*G5*L5/100</f>
        <v>936398.46401901601</v>
      </c>
      <c r="W5" s="31">
        <f t="shared" ref="W5:W36" si="1">+R5*H5*M5/100</f>
        <v>1030036.1456938739</v>
      </c>
      <c r="X5" s="31">
        <f t="shared" ref="X5:X36" si="2">+S5*I5*N5/100</f>
        <v>1111522.2636459409</v>
      </c>
      <c r="Y5" s="31">
        <f>J5*T5*(O5/100)</f>
        <v>1359654.1875</v>
      </c>
      <c r="Z5" s="31">
        <f>K5*U5*(P5/100)</f>
        <v>1468529.5680000002</v>
      </c>
      <c r="AA5" s="84">
        <v>0.31799999000000001</v>
      </c>
      <c r="AB5" s="84">
        <v>0.48799998999999999</v>
      </c>
      <c r="AC5" s="84">
        <v>0.80800003000000009</v>
      </c>
      <c r="AD5">
        <f t="shared" ref="AD5:AD36" si="3">W5*AB5</f>
        <v>502657.628798249</v>
      </c>
      <c r="AE5" s="84">
        <f t="shared" ref="AE5:AE36" si="4">X5*(1-AC5)</f>
        <v>213412.24127435265</v>
      </c>
      <c r="AF5" s="2">
        <f t="shared" ref="AF5:AF36" si="5">AVERAGE(AD5:AE5)</f>
        <v>358034.9350363008</v>
      </c>
    </row>
    <row r="6" spans="2:32" hidden="1" x14ac:dyDescent="0.25">
      <c r="B6" s="32" t="s">
        <v>232</v>
      </c>
      <c r="C6" s="21" t="s">
        <v>569</v>
      </c>
      <c r="D6" s="21" t="s">
        <v>361</v>
      </c>
      <c r="E6" s="21"/>
      <c r="F6" s="20">
        <v>8</v>
      </c>
      <c r="G6" s="31">
        <v>19.216000000000001</v>
      </c>
      <c r="H6" s="31">
        <v>14.994999999999999</v>
      </c>
      <c r="I6" s="31">
        <v>14.69</v>
      </c>
      <c r="J6" s="31"/>
      <c r="K6" s="31"/>
      <c r="L6" s="31">
        <v>97.370900000000006</v>
      </c>
      <c r="M6" s="31">
        <v>98.172399999999996</v>
      </c>
      <c r="N6" s="31">
        <v>98.389899999999997</v>
      </c>
      <c r="O6" s="31"/>
      <c r="P6" s="31"/>
      <c r="Q6" s="31">
        <v>3094.3890000000001</v>
      </c>
      <c r="R6" s="31">
        <v>3079.7267999999999</v>
      </c>
      <c r="S6" s="31">
        <v>3132.67</v>
      </c>
      <c r="T6" s="31"/>
      <c r="U6" s="31"/>
      <c r="V6" s="31">
        <f t="shared" si="0"/>
        <v>57898.469391680024</v>
      </c>
      <c r="W6" s="31">
        <f t="shared" si="1"/>
        <v>45336.508486482977</v>
      </c>
      <c r="X6" s="31">
        <f t="shared" si="2"/>
        <v>45277.971632047695</v>
      </c>
      <c r="Y6" s="31"/>
      <c r="Z6" s="31"/>
      <c r="AA6" s="2">
        <v>0.97400002000000008</v>
      </c>
      <c r="AB6" s="2">
        <v>0.97199996999999994</v>
      </c>
      <c r="AC6" s="2">
        <v>0.98</v>
      </c>
      <c r="AD6">
        <f t="shared" si="3"/>
        <v>44067.0848887662</v>
      </c>
      <c r="AE6" s="84">
        <f t="shared" si="4"/>
        <v>905.5594326409547</v>
      </c>
      <c r="AF6" s="2">
        <f t="shared" si="5"/>
        <v>22486.322160703578</v>
      </c>
    </row>
    <row r="7" spans="2:32" hidden="1" x14ac:dyDescent="0.25">
      <c r="B7" s="32" t="s">
        <v>231</v>
      </c>
      <c r="C7" s="21" t="s">
        <v>568</v>
      </c>
      <c r="D7" s="21" t="s">
        <v>361</v>
      </c>
      <c r="E7" s="21"/>
      <c r="F7" s="20">
        <v>12</v>
      </c>
      <c r="G7" s="31">
        <v>21.613</v>
      </c>
      <c r="H7" s="31">
        <v>20.742000000000001</v>
      </c>
      <c r="I7" s="31">
        <v>20.803999999999998</v>
      </c>
      <c r="J7" s="31"/>
      <c r="K7" s="31"/>
      <c r="L7" s="31">
        <v>95.3249</v>
      </c>
      <c r="M7" s="31">
        <v>96.263199999999998</v>
      </c>
      <c r="N7" s="31">
        <v>96.895399999999995</v>
      </c>
      <c r="O7" s="31"/>
      <c r="P7" s="31"/>
      <c r="Q7" s="31">
        <v>29191.762999999999</v>
      </c>
      <c r="R7" s="31">
        <v>31425.203000000001</v>
      </c>
      <c r="S7" s="31">
        <v>33866.614999999998</v>
      </c>
      <c r="T7" s="31"/>
      <c r="U7" s="31"/>
      <c r="V7" s="31">
        <f t="shared" si="0"/>
        <v>601425.35922606301</v>
      </c>
      <c r="W7" s="31">
        <f t="shared" si="1"/>
        <v>627464.29254852759</v>
      </c>
      <c r="X7" s="31">
        <f t="shared" si="2"/>
        <v>682687.25583905075</v>
      </c>
      <c r="Y7" s="31"/>
      <c r="Z7" s="31"/>
      <c r="AA7" s="2">
        <v>0.86800003000000003</v>
      </c>
      <c r="AB7" s="2">
        <v>0.86800003000000003</v>
      </c>
      <c r="AC7" s="2">
        <v>0.92800003000000009</v>
      </c>
      <c r="AD7">
        <f t="shared" si="3"/>
        <v>544639.02475605079</v>
      </c>
      <c r="AE7" s="84">
        <f t="shared" si="4"/>
        <v>49153.461939793917</v>
      </c>
      <c r="AF7" s="2">
        <f t="shared" si="5"/>
        <v>296896.24334792234</v>
      </c>
    </row>
    <row r="8" spans="2:32" hidden="1" x14ac:dyDescent="0.25">
      <c r="B8" s="32" t="s">
        <v>62</v>
      </c>
      <c r="C8" s="21" t="s">
        <v>567</v>
      </c>
      <c r="D8" s="21" t="s">
        <v>356</v>
      </c>
      <c r="E8" s="21"/>
      <c r="F8" s="20">
        <v>24</v>
      </c>
      <c r="G8" s="31">
        <v>48.841000000000001</v>
      </c>
      <c r="H8" s="31">
        <v>47.643999999999998</v>
      </c>
      <c r="I8" s="31">
        <v>42.908000000000001</v>
      </c>
      <c r="J8" s="31">
        <v>39.9</v>
      </c>
      <c r="K8" s="31">
        <v>36.799999999999997</v>
      </c>
      <c r="L8" s="31">
        <v>85.811499999999995</v>
      </c>
      <c r="M8" s="31">
        <v>86.726100000000002</v>
      </c>
      <c r="N8" s="31">
        <v>88.267099999999999</v>
      </c>
      <c r="O8" s="31">
        <f>100-9.62</f>
        <v>90.38</v>
      </c>
      <c r="P8" s="31">
        <f>100-8.77</f>
        <v>91.23</v>
      </c>
      <c r="Q8" s="31">
        <v>13217.782999999999</v>
      </c>
      <c r="R8" s="31">
        <v>15186.045</v>
      </c>
      <c r="S8" s="31">
        <v>17555.917000000001</v>
      </c>
      <c r="T8" s="31">
        <v>21842</v>
      </c>
      <c r="U8" s="31">
        <v>24780</v>
      </c>
      <c r="V8" s="31">
        <f t="shared" si="0"/>
        <v>553973.0770136168</v>
      </c>
      <c r="W8" s="31">
        <f t="shared" si="1"/>
        <v>627484.08530386281</v>
      </c>
      <c r="X8" s="31">
        <f t="shared" si="2"/>
        <v>664906.60792428476</v>
      </c>
      <c r="Y8" s="31">
        <f>J8*T8*(O8/100)</f>
        <v>787657.90403999994</v>
      </c>
      <c r="Z8" s="31">
        <f>K8*U8*(P8/100)</f>
        <v>831930.01919999986</v>
      </c>
      <c r="AA8" s="84">
        <v>0.31799999000000001</v>
      </c>
      <c r="AB8" s="84">
        <v>0.42599998</v>
      </c>
      <c r="AC8" s="84">
        <v>0.65599998000000004</v>
      </c>
      <c r="AD8">
        <f t="shared" si="3"/>
        <v>267308.20778976387</v>
      </c>
      <c r="AE8" s="84">
        <f t="shared" si="4"/>
        <v>228727.88642408609</v>
      </c>
      <c r="AF8" s="2">
        <f t="shared" si="5"/>
        <v>248018.04710692499</v>
      </c>
    </row>
    <row r="9" spans="2:32" hidden="1" x14ac:dyDescent="0.25">
      <c r="B9" s="32" t="s">
        <v>228</v>
      </c>
      <c r="C9" s="21" t="s">
        <v>566</v>
      </c>
      <c r="D9" s="21" t="s">
        <v>361</v>
      </c>
      <c r="E9" s="21"/>
      <c r="F9" s="20">
        <v>32</v>
      </c>
      <c r="G9" s="31">
        <v>19.553999999999998</v>
      </c>
      <c r="H9" s="31">
        <v>17.873000000000001</v>
      </c>
      <c r="I9" s="31">
        <v>17.372</v>
      </c>
      <c r="J9" s="31"/>
      <c r="K9" s="31"/>
      <c r="L9" s="31">
        <v>97.8155</v>
      </c>
      <c r="M9" s="31">
        <v>98.496200000000002</v>
      </c>
      <c r="N9" s="31">
        <v>98.656999999999996</v>
      </c>
      <c r="O9" s="31"/>
      <c r="P9" s="31"/>
      <c r="Q9" s="31">
        <v>35662.368999999999</v>
      </c>
      <c r="R9" s="31">
        <v>37665.735999999997</v>
      </c>
      <c r="S9" s="31">
        <v>39497.353999999999</v>
      </c>
      <c r="T9" s="31"/>
      <c r="U9" s="31"/>
      <c r="V9" s="31">
        <f t="shared" si="0"/>
        <v>682108.528234959</v>
      </c>
      <c r="W9" s="31">
        <f t="shared" si="1"/>
        <v>663076.1224464979</v>
      </c>
      <c r="X9" s="31">
        <f t="shared" si="2"/>
        <v>676933.06559557002</v>
      </c>
      <c r="Y9" s="31"/>
      <c r="Z9" s="31"/>
      <c r="AA9" s="2">
        <v>0.85199996999999994</v>
      </c>
      <c r="AB9" s="2">
        <v>0.88400002</v>
      </c>
      <c r="AC9" s="2">
        <v>0.94000000000000006</v>
      </c>
      <c r="AD9">
        <f t="shared" si="3"/>
        <v>586159.30550422659</v>
      </c>
      <c r="AE9" s="84">
        <f t="shared" si="4"/>
        <v>40615.983935734163</v>
      </c>
      <c r="AF9" s="2">
        <f t="shared" si="5"/>
        <v>313387.64471998037</v>
      </c>
    </row>
    <row r="10" spans="2:32" hidden="1" x14ac:dyDescent="0.25">
      <c r="B10" s="32" t="s">
        <v>61</v>
      </c>
      <c r="C10" s="21" t="s">
        <v>565</v>
      </c>
      <c r="D10" s="21" t="s">
        <v>356</v>
      </c>
      <c r="E10" s="21"/>
      <c r="F10" s="20">
        <v>51</v>
      </c>
      <c r="G10" s="31">
        <v>13.512</v>
      </c>
      <c r="H10" s="31">
        <v>14.167</v>
      </c>
      <c r="I10" s="31">
        <v>15.222</v>
      </c>
      <c r="J10" s="31">
        <v>15</v>
      </c>
      <c r="K10" s="31">
        <v>13.3</v>
      </c>
      <c r="L10" s="31">
        <v>96.271500000000003</v>
      </c>
      <c r="M10" s="31">
        <v>97.082599999999999</v>
      </c>
      <c r="N10" s="31">
        <v>97.479100000000003</v>
      </c>
      <c r="O10" s="31">
        <f>100-2.43</f>
        <v>97.57</v>
      </c>
      <c r="P10" s="31">
        <f>100-2.24</f>
        <v>97.76</v>
      </c>
      <c r="Q10" s="31">
        <v>3145.902</v>
      </c>
      <c r="R10" s="31">
        <v>3064.7273999999998</v>
      </c>
      <c r="S10" s="31">
        <v>3073.1776</v>
      </c>
      <c r="T10" s="31">
        <v>3133</v>
      </c>
      <c r="U10" s="31">
        <v>3146</v>
      </c>
      <c r="V10" s="31">
        <f t="shared" si="0"/>
        <v>40922.538377582161</v>
      </c>
      <c r="W10" s="31">
        <f t="shared" si="1"/>
        <v>42151.316545806614</v>
      </c>
      <c r="X10" s="31">
        <f t="shared" si="2"/>
        <v>45600.634690449711</v>
      </c>
      <c r="Y10" s="31">
        <f>J10*T10*(O10/100)</f>
        <v>45853.021499999995</v>
      </c>
      <c r="Z10" s="31">
        <f>K10*U10*(P10/100)</f>
        <v>40904.543680000002</v>
      </c>
      <c r="AA10" s="84">
        <v>0.89</v>
      </c>
      <c r="AB10" s="84">
        <v>0.93199997000000001</v>
      </c>
      <c r="AC10" s="84">
        <v>0.89400002000000001</v>
      </c>
      <c r="AD10">
        <f t="shared" si="3"/>
        <v>39285.025756152267</v>
      </c>
      <c r="AE10" s="84">
        <f t="shared" si="4"/>
        <v>4833.666365174975</v>
      </c>
      <c r="AF10" s="2">
        <f t="shared" si="5"/>
        <v>22059.346060663622</v>
      </c>
    </row>
    <row r="11" spans="2:32" x14ac:dyDescent="0.25">
      <c r="B11" s="32" t="s">
        <v>564</v>
      </c>
      <c r="C11" s="21" t="s">
        <v>563</v>
      </c>
      <c r="D11" s="21" t="s">
        <v>366</v>
      </c>
      <c r="E11" s="21"/>
      <c r="F11" s="20">
        <v>533</v>
      </c>
      <c r="G11" s="31">
        <v>15.836</v>
      </c>
      <c r="H11" s="31">
        <v>13.334</v>
      </c>
      <c r="I11" s="31">
        <v>11.846</v>
      </c>
      <c r="J11" s="31"/>
      <c r="K11" s="31"/>
      <c r="L11" s="31">
        <v>98.197599999999994</v>
      </c>
      <c r="M11" s="31">
        <v>98.257199999999997</v>
      </c>
      <c r="N11" s="31">
        <v>98.448400000000007</v>
      </c>
      <c r="O11" s="31"/>
      <c r="P11" s="31"/>
      <c r="Q11" s="31"/>
      <c r="R11" s="31"/>
      <c r="S11" s="31"/>
      <c r="T11" s="31"/>
      <c r="U11" s="31"/>
      <c r="V11" s="31">
        <f t="shared" si="0"/>
        <v>0</v>
      </c>
      <c r="W11" s="31">
        <f t="shared" si="1"/>
        <v>0</v>
      </c>
      <c r="X11" s="31">
        <f t="shared" si="2"/>
        <v>0</v>
      </c>
      <c r="Y11" s="31"/>
      <c r="Z11" s="31"/>
      <c r="AA11" s="2">
        <v>0</v>
      </c>
      <c r="AB11" s="2">
        <v>0</v>
      </c>
      <c r="AC11" s="2">
        <v>0</v>
      </c>
      <c r="AD11">
        <f t="shared" si="3"/>
        <v>0</v>
      </c>
      <c r="AE11" s="84">
        <f t="shared" si="4"/>
        <v>0</v>
      </c>
      <c r="AF11" s="2">
        <f t="shared" si="5"/>
        <v>0</v>
      </c>
    </row>
    <row r="12" spans="2:32" x14ac:dyDescent="0.25">
      <c r="B12" s="32" t="s">
        <v>227</v>
      </c>
      <c r="C12" s="21" t="s">
        <v>562</v>
      </c>
      <c r="D12" s="21" t="s">
        <v>366</v>
      </c>
      <c r="E12" s="21">
        <v>18</v>
      </c>
      <c r="F12" s="20">
        <v>36</v>
      </c>
      <c r="G12" s="31">
        <v>13.425000000000001</v>
      </c>
      <c r="H12" s="31">
        <v>12.701000000000001</v>
      </c>
      <c r="I12" s="31">
        <v>12.741</v>
      </c>
      <c r="J12" s="31"/>
      <c r="K12" s="31"/>
      <c r="L12" s="31">
        <v>99.462999999999994</v>
      </c>
      <c r="M12" s="31">
        <v>99.462999999999994</v>
      </c>
      <c r="N12" s="31">
        <v>99.549400000000006</v>
      </c>
      <c r="O12" s="31"/>
      <c r="P12" s="31"/>
      <c r="Q12" s="31">
        <v>18507.400000000001</v>
      </c>
      <c r="R12" s="31">
        <v>19648.04</v>
      </c>
      <c r="S12" s="31">
        <v>21094.38</v>
      </c>
      <c r="T12" s="31"/>
      <c r="U12" s="31"/>
      <c r="V12" s="31">
        <f t="shared" si="0"/>
        <v>247127.60489235003</v>
      </c>
      <c r="W12" s="31">
        <f t="shared" si="1"/>
        <v>248209.67385006521</v>
      </c>
      <c r="X12" s="31">
        <f t="shared" si="2"/>
        <v>267552.44726891653</v>
      </c>
      <c r="Y12" s="31"/>
      <c r="Z12" s="31"/>
      <c r="AA12" s="2">
        <v>0.83800003000000001</v>
      </c>
      <c r="AB12" s="2">
        <v>0.91800003000000008</v>
      </c>
      <c r="AC12" s="2">
        <v>0.92</v>
      </c>
      <c r="AD12">
        <f t="shared" si="3"/>
        <v>227856.48804065009</v>
      </c>
      <c r="AE12" s="84">
        <f t="shared" si="4"/>
        <v>21404.19578151331</v>
      </c>
      <c r="AF12" s="2">
        <f t="shared" si="5"/>
        <v>124630.3419110817</v>
      </c>
    </row>
    <row r="13" spans="2:32" x14ac:dyDescent="0.25">
      <c r="B13" s="32" t="s">
        <v>226</v>
      </c>
      <c r="C13" s="21" t="s">
        <v>561</v>
      </c>
      <c r="D13" s="21" t="s">
        <v>366</v>
      </c>
      <c r="E13" s="21"/>
      <c r="F13" s="20">
        <v>40</v>
      </c>
      <c r="G13" s="31">
        <v>10.214</v>
      </c>
      <c r="H13" s="31">
        <v>9.6769999999999996</v>
      </c>
      <c r="I13" s="31">
        <v>9.1379999999999999</v>
      </c>
      <c r="J13" s="31"/>
      <c r="K13" s="31"/>
      <c r="L13" s="31">
        <v>99.518799999999999</v>
      </c>
      <c r="M13" s="31">
        <v>99.548000000000002</v>
      </c>
      <c r="N13" s="31">
        <v>99.572299999999998</v>
      </c>
      <c r="O13" s="31"/>
      <c r="P13" s="31"/>
      <c r="Q13" s="31">
        <v>7974.7592000000004</v>
      </c>
      <c r="R13" s="31">
        <v>8086.1430999999993</v>
      </c>
      <c r="S13" s="31">
        <v>8303.5065999999988</v>
      </c>
      <c r="T13" s="31"/>
      <c r="U13" s="31"/>
      <c r="V13" s="31">
        <f t="shared" si="0"/>
        <v>81062.23290426415</v>
      </c>
      <c r="W13" s="31">
        <f t="shared" si="1"/>
        <v>77895.918556060264</v>
      </c>
      <c r="X13" s="31">
        <f t="shared" si="2"/>
        <v>75552.915485759702</v>
      </c>
      <c r="Y13" s="31"/>
      <c r="Z13" s="31"/>
      <c r="AA13" s="2">
        <v>0.85199996999999994</v>
      </c>
      <c r="AB13" s="2">
        <v>0.83000000000000007</v>
      </c>
      <c r="AC13" s="2">
        <v>0.84</v>
      </c>
      <c r="AD13">
        <f t="shared" si="3"/>
        <v>64653.612401530023</v>
      </c>
      <c r="AE13" s="84">
        <f t="shared" si="4"/>
        <v>12088.466477721555</v>
      </c>
      <c r="AF13" s="2">
        <f t="shared" si="5"/>
        <v>38371.039439625791</v>
      </c>
    </row>
    <row r="14" spans="2:32" hidden="1" x14ac:dyDescent="0.25">
      <c r="B14" s="32" t="s">
        <v>224</v>
      </c>
      <c r="C14" s="21" t="s">
        <v>560</v>
      </c>
      <c r="D14" s="21" t="s">
        <v>361</v>
      </c>
      <c r="E14" s="21"/>
      <c r="F14" s="20">
        <v>31</v>
      </c>
      <c r="G14" s="31">
        <v>18.901</v>
      </c>
      <c r="H14" s="31">
        <v>17.105</v>
      </c>
      <c r="I14" s="31">
        <v>19</v>
      </c>
      <c r="J14" s="31"/>
      <c r="K14" s="31"/>
      <c r="L14" s="31">
        <v>93.882300000000001</v>
      </c>
      <c r="M14" s="31">
        <v>95.027900000000002</v>
      </c>
      <c r="N14" s="31">
        <v>95.656800000000004</v>
      </c>
      <c r="O14" s="31"/>
      <c r="P14" s="31"/>
      <c r="Q14" s="31">
        <v>7836.4</v>
      </c>
      <c r="R14" s="31">
        <v>8174.4020999999993</v>
      </c>
      <c r="S14" s="31">
        <v>8583.7800000000007</v>
      </c>
      <c r="T14" s="31"/>
      <c r="U14" s="31"/>
      <c r="V14" s="31">
        <f t="shared" si="0"/>
        <v>139054.51632363719</v>
      </c>
      <c r="W14" s="31">
        <f t="shared" si="1"/>
        <v>132871.00118274483</v>
      </c>
      <c r="X14" s="31">
        <f t="shared" si="2"/>
        <v>156008.41607376002</v>
      </c>
      <c r="Y14" s="31"/>
      <c r="AA14" s="2">
        <v>0.73199996999999994</v>
      </c>
      <c r="AB14" s="2">
        <v>0.75</v>
      </c>
      <c r="AC14" s="2">
        <v>0.73400001999999998</v>
      </c>
      <c r="AD14">
        <f t="shared" si="3"/>
        <v>99653.250887058617</v>
      </c>
      <c r="AE14" s="84">
        <f t="shared" si="4"/>
        <v>41498.235555451844</v>
      </c>
      <c r="AF14" s="2">
        <f t="shared" si="5"/>
        <v>70575.743221255223</v>
      </c>
    </row>
    <row r="15" spans="2:32" x14ac:dyDescent="0.25">
      <c r="B15" s="32" t="s">
        <v>223</v>
      </c>
      <c r="C15" s="21" t="s">
        <v>559</v>
      </c>
      <c r="D15" s="21" t="s">
        <v>366</v>
      </c>
      <c r="E15" s="21"/>
      <c r="F15" s="20">
        <v>44</v>
      </c>
      <c r="G15" s="31">
        <v>21.262</v>
      </c>
      <c r="H15" s="31">
        <v>18.088000000000001</v>
      </c>
      <c r="I15" s="31">
        <v>16.863</v>
      </c>
      <c r="J15" s="31"/>
      <c r="K15" s="31"/>
      <c r="L15" s="31">
        <v>98.631799999999998</v>
      </c>
      <c r="M15" s="31">
        <v>98.760999999999996</v>
      </c>
      <c r="N15" s="31">
        <v>99.102999999999994</v>
      </c>
      <c r="O15" s="31"/>
      <c r="P15" s="31"/>
      <c r="Q15" s="31">
        <v>290.92759999999998</v>
      </c>
      <c r="R15" s="31">
        <v>313.22480000000002</v>
      </c>
      <c r="S15" s="31">
        <v>333.60740000000004</v>
      </c>
      <c r="T15" s="31"/>
      <c r="U15" s="31"/>
      <c r="V15" s="31">
        <f t="shared" si="0"/>
        <v>6101.0698477999213</v>
      </c>
      <c r="W15" s="31">
        <f t="shared" si="1"/>
        <v>5595.4132722400645</v>
      </c>
      <c r="X15" s="31">
        <f t="shared" si="2"/>
        <v>5575.159760571787</v>
      </c>
      <c r="Y15" s="31"/>
      <c r="Z15" s="31"/>
      <c r="AA15" s="2">
        <v>0.85800003000000002</v>
      </c>
      <c r="AB15" s="2">
        <v>0.95400002000000006</v>
      </c>
      <c r="AC15" s="2">
        <v>0.94400002000000005</v>
      </c>
      <c r="AD15">
        <f t="shared" si="3"/>
        <v>5338.0243736252869</v>
      </c>
      <c r="AE15" s="84">
        <f t="shared" si="4"/>
        <v>312.20883508882457</v>
      </c>
      <c r="AF15" s="2">
        <f t="shared" si="5"/>
        <v>2825.1166043570556</v>
      </c>
    </row>
    <row r="16" spans="2:32" x14ac:dyDescent="0.25">
      <c r="B16" s="32" t="s">
        <v>222</v>
      </c>
      <c r="C16" s="21" t="s">
        <v>558</v>
      </c>
      <c r="D16" s="21" t="s">
        <v>366</v>
      </c>
      <c r="E16" s="21"/>
      <c r="F16" s="20">
        <v>48</v>
      </c>
      <c r="G16" s="31">
        <v>21.256</v>
      </c>
      <c r="H16" s="31">
        <v>19.616</v>
      </c>
      <c r="I16" s="31">
        <v>18.151</v>
      </c>
      <c r="J16" s="31"/>
      <c r="K16" s="31"/>
      <c r="L16" s="31">
        <v>98.750299999999996</v>
      </c>
      <c r="M16" s="31">
        <v>98.881200000000007</v>
      </c>
      <c r="N16" s="31">
        <v>99.005899999999997</v>
      </c>
      <c r="O16" s="31"/>
      <c r="P16" s="31"/>
      <c r="Q16" s="31">
        <v>607.01300000000003</v>
      </c>
      <c r="R16" s="31">
        <v>680.56640000000004</v>
      </c>
      <c r="S16" s="31">
        <v>759.54240000000004</v>
      </c>
      <c r="T16" s="31"/>
      <c r="U16" s="31"/>
      <c r="V16" s="31">
        <f t="shared" si="0"/>
        <v>12741.423681904986</v>
      </c>
      <c r="W16" s="31">
        <f t="shared" si="1"/>
        <v>13200.630808659149</v>
      </c>
      <c r="X16" s="31">
        <f t="shared" si="2"/>
        <v>13649.402962168044</v>
      </c>
      <c r="Y16" s="31"/>
      <c r="Z16" s="31"/>
      <c r="AA16" s="2">
        <v>0.96800003000000001</v>
      </c>
      <c r="AB16" s="2">
        <v>0.97800003000000002</v>
      </c>
      <c r="AC16" s="2">
        <v>0.97800003000000002</v>
      </c>
      <c r="AD16">
        <f t="shared" si="3"/>
        <v>12910.217326887572</v>
      </c>
      <c r="AE16" s="84">
        <f t="shared" si="4"/>
        <v>300.28645568560785</v>
      </c>
      <c r="AF16" s="2">
        <f t="shared" si="5"/>
        <v>6605.2518912865899</v>
      </c>
    </row>
    <row r="17" spans="2:32" hidden="1" x14ac:dyDescent="0.25">
      <c r="B17" s="32" t="s">
        <v>105</v>
      </c>
      <c r="C17" s="21" t="s">
        <v>557</v>
      </c>
      <c r="D17" s="21" t="s">
        <v>353</v>
      </c>
      <c r="E17" s="21"/>
      <c r="F17" s="20">
        <v>50</v>
      </c>
      <c r="G17" s="31">
        <v>28.754999999999999</v>
      </c>
      <c r="H17" s="31">
        <v>25.408000000000001</v>
      </c>
      <c r="I17" s="31">
        <v>21.588999999999999</v>
      </c>
      <c r="J17" s="31">
        <v>19.5</v>
      </c>
      <c r="K17" s="31">
        <v>17.7</v>
      </c>
      <c r="L17" s="31">
        <v>92.741600000000005</v>
      </c>
      <c r="M17" s="31">
        <v>94.285200000000003</v>
      </c>
      <c r="N17" s="31">
        <v>95.535200000000003</v>
      </c>
      <c r="O17" s="31">
        <f>100-4.18</f>
        <v>95.82</v>
      </c>
      <c r="P17" s="31">
        <f>100-3.5</f>
        <v>96.5</v>
      </c>
      <c r="Q17" s="31">
        <v>133200</v>
      </c>
      <c r="R17" s="31">
        <v>145800</v>
      </c>
      <c r="S17" s="31">
        <v>157700</v>
      </c>
      <c r="T17" s="31">
        <v>158317</v>
      </c>
      <c r="U17" s="31">
        <v>167256</v>
      </c>
      <c r="V17" s="31">
        <f t="shared" si="0"/>
        <v>3552157.2310560001</v>
      </c>
      <c r="W17" s="31">
        <f t="shared" si="1"/>
        <v>3492782.4112128005</v>
      </c>
      <c r="X17" s="31">
        <f t="shared" si="2"/>
        <v>3252577.3755255998</v>
      </c>
      <c r="Y17" s="31">
        <f>J17*T17*(O17/100)</f>
        <v>2958137.3133</v>
      </c>
      <c r="Z17" s="31">
        <f>K17*U17*(P17/100)</f>
        <v>2856816.1079999995</v>
      </c>
      <c r="AA17" s="84">
        <v>0.75</v>
      </c>
      <c r="AB17" s="84">
        <v>0.87599998000000001</v>
      </c>
      <c r="AC17" s="84">
        <v>0.9380000300000001</v>
      </c>
      <c r="AD17">
        <f t="shared" si="3"/>
        <v>3059677.3223667652</v>
      </c>
      <c r="AE17" s="84">
        <f t="shared" si="4"/>
        <v>201659.69970526561</v>
      </c>
      <c r="AF17" s="2">
        <f t="shared" si="5"/>
        <v>1630668.5110360153</v>
      </c>
    </row>
    <row r="18" spans="2:32" x14ac:dyDescent="0.25">
      <c r="B18" s="32" t="s">
        <v>221</v>
      </c>
      <c r="C18" s="21" t="s">
        <v>556</v>
      </c>
      <c r="D18" s="21" t="s">
        <v>366</v>
      </c>
      <c r="E18" s="21"/>
      <c r="F18" s="20">
        <v>52</v>
      </c>
      <c r="G18" s="31">
        <v>12.595000000000001</v>
      </c>
      <c r="H18" s="31">
        <v>11.638999999999999</v>
      </c>
      <c r="I18" s="31">
        <v>11.237</v>
      </c>
      <c r="J18" s="31"/>
      <c r="K18" s="31"/>
      <c r="L18" s="31">
        <v>98.646299999999997</v>
      </c>
      <c r="M18" s="31">
        <v>98.794399999999996</v>
      </c>
      <c r="N18" s="31">
        <v>98.985799999999998</v>
      </c>
      <c r="O18" s="31"/>
      <c r="P18" s="31"/>
      <c r="Q18" s="31">
        <v>255.26300000000001</v>
      </c>
      <c r="R18" s="31">
        <v>251.80160000000001</v>
      </c>
      <c r="S18" s="31">
        <v>254.55179999999999</v>
      </c>
      <c r="T18" s="31"/>
      <c r="U18" s="31"/>
      <c r="V18" s="31">
        <f t="shared" si="0"/>
        <v>3171.5155225655553</v>
      </c>
      <c r="W18" s="31">
        <f t="shared" si="1"/>
        <v>2895.3860762771455</v>
      </c>
      <c r="X18" s="31">
        <f t="shared" si="2"/>
        <v>2831.3884142361226</v>
      </c>
      <c r="Y18" s="31"/>
      <c r="Z18" s="31"/>
      <c r="AA18" s="2">
        <v>0.90800003000000007</v>
      </c>
      <c r="AB18" s="2">
        <v>0.89199996999999998</v>
      </c>
      <c r="AC18" s="2">
        <v>0.89400002000000001</v>
      </c>
      <c r="AD18">
        <f t="shared" si="3"/>
        <v>2582.6842931776314</v>
      </c>
      <c r="AE18" s="84">
        <f t="shared" si="4"/>
        <v>300.12711528126067</v>
      </c>
      <c r="AF18" s="2">
        <f t="shared" si="5"/>
        <v>1441.405704229446</v>
      </c>
    </row>
    <row r="19" spans="2:32" hidden="1" x14ac:dyDescent="0.25">
      <c r="B19" s="32" t="s">
        <v>220</v>
      </c>
      <c r="C19" s="21" t="s">
        <v>555</v>
      </c>
      <c r="D19" s="21" t="s">
        <v>361</v>
      </c>
      <c r="E19" s="21"/>
      <c r="F19" s="20">
        <v>112</v>
      </c>
      <c r="G19" s="31">
        <v>9.4499999999999993</v>
      </c>
      <c r="H19" s="31">
        <v>9.2810000000000006</v>
      </c>
      <c r="I19" s="31">
        <v>9.9700000000000006</v>
      </c>
      <c r="J19" s="31"/>
      <c r="K19" s="31"/>
      <c r="L19" s="31">
        <v>98.545100000000005</v>
      </c>
      <c r="M19" s="31">
        <v>99.034499999999994</v>
      </c>
      <c r="N19" s="31">
        <v>99.072100000000006</v>
      </c>
      <c r="O19" s="31"/>
      <c r="P19" s="31"/>
      <c r="Q19" s="31">
        <v>10115</v>
      </c>
      <c r="R19" s="31">
        <v>9919.739599999999</v>
      </c>
      <c r="S19" s="31">
        <v>9710.7883000000002</v>
      </c>
      <c r="T19" s="31"/>
      <c r="U19" s="31"/>
      <c r="V19" s="31">
        <f t="shared" si="0"/>
        <v>94196.058374250017</v>
      </c>
      <c r="W19" s="31">
        <f t="shared" si="1"/>
        <v>91176.214655937511</v>
      </c>
      <c r="X19" s="31">
        <f t="shared" si="2"/>
        <v>95918.198496782075</v>
      </c>
      <c r="Y19" s="31"/>
      <c r="Z19" s="31"/>
      <c r="AA19" s="2">
        <v>0.98</v>
      </c>
      <c r="AB19" s="2">
        <v>0.89199996999999998</v>
      </c>
      <c r="AC19" s="2">
        <v>0.97199996999999994</v>
      </c>
      <c r="AD19">
        <f t="shared" si="3"/>
        <v>81329.180737809816</v>
      </c>
      <c r="AE19" s="84">
        <f t="shared" si="4"/>
        <v>2685.7124354558591</v>
      </c>
      <c r="AF19" s="2">
        <f t="shared" si="5"/>
        <v>42007.446586632839</v>
      </c>
    </row>
    <row r="20" spans="2:32" x14ac:dyDescent="0.25">
      <c r="B20" s="32" t="s">
        <v>219</v>
      </c>
      <c r="C20" s="21" t="s">
        <v>554</v>
      </c>
      <c r="D20" s="21" t="s">
        <v>366</v>
      </c>
      <c r="E20" s="21"/>
      <c r="F20" s="20">
        <v>56</v>
      </c>
      <c r="G20" s="31">
        <v>11.22</v>
      </c>
      <c r="H20" s="31">
        <v>10.843</v>
      </c>
      <c r="I20" s="31">
        <v>11.292999999999999</v>
      </c>
      <c r="J20" s="31"/>
      <c r="K20" s="31"/>
      <c r="L20" s="31">
        <v>99.486599999999996</v>
      </c>
      <c r="M20" s="31">
        <v>99.563400000000001</v>
      </c>
      <c r="N20" s="31">
        <v>99.586299999999994</v>
      </c>
      <c r="O20" s="31"/>
      <c r="P20" s="31"/>
      <c r="Q20" s="31">
        <v>10180.76</v>
      </c>
      <c r="R20" s="31">
        <v>10333.84</v>
      </c>
      <c r="S20" s="31">
        <v>10629.9</v>
      </c>
      <c r="T20" s="31"/>
      <c r="U20" s="31"/>
      <c r="V20" s="31">
        <f t="shared" si="0"/>
        <v>113641.67999495519</v>
      </c>
      <c r="W20" s="31">
        <f t="shared" si="1"/>
        <v>111560.61757479409</v>
      </c>
      <c r="X20" s="31">
        <f t="shared" si="2"/>
        <v>119546.84090308407</v>
      </c>
      <c r="Y20" s="31"/>
      <c r="Z20" s="31"/>
      <c r="AA20" s="2">
        <v>0.88400002</v>
      </c>
      <c r="AB20" s="2">
        <v>0.95000000000000007</v>
      </c>
      <c r="AC20" s="2">
        <v>0.98599998</v>
      </c>
      <c r="AD20">
        <f t="shared" si="3"/>
        <v>105982.58669605439</v>
      </c>
      <c r="AE20" s="84">
        <f t="shared" si="4"/>
        <v>1673.6581635799953</v>
      </c>
      <c r="AF20" s="2">
        <f t="shared" si="5"/>
        <v>53828.122429817195</v>
      </c>
    </row>
    <row r="21" spans="2:32" hidden="1" x14ac:dyDescent="0.25">
      <c r="B21" s="32" t="s">
        <v>218</v>
      </c>
      <c r="C21" s="21" t="s">
        <v>553</v>
      </c>
      <c r="D21" s="21" t="s">
        <v>356</v>
      </c>
      <c r="E21" s="21"/>
      <c r="F21" s="20">
        <v>84</v>
      </c>
      <c r="G21" s="31">
        <v>31.603999999999999</v>
      </c>
      <c r="H21" s="31">
        <v>27.806000000000001</v>
      </c>
      <c r="I21" s="31">
        <v>24.916</v>
      </c>
      <c r="J21" s="31">
        <v>24</v>
      </c>
      <c r="K21" s="31">
        <v>22.5</v>
      </c>
      <c r="L21" s="31">
        <v>97.535600000000002</v>
      </c>
      <c r="M21" s="31">
        <v>98.074799999999996</v>
      </c>
      <c r="N21" s="31">
        <v>98.326400000000007</v>
      </c>
      <c r="O21" s="31">
        <f>100-1.62</f>
        <v>98.38</v>
      </c>
      <c r="P21" s="31">
        <f>100-1.52</f>
        <v>98.48</v>
      </c>
      <c r="Q21" s="31">
        <v>230.02</v>
      </c>
      <c r="R21" s="31">
        <v>265.72000000000003</v>
      </c>
      <c r="S21" s="31">
        <v>311.99720000000002</v>
      </c>
      <c r="T21" s="31">
        <v>344</v>
      </c>
      <c r="U21" s="31">
        <v>377</v>
      </c>
      <c r="V21" s="31">
        <f t="shared" si="0"/>
        <v>7090.4012385404812</v>
      </c>
      <c r="W21" s="31">
        <f t="shared" si="1"/>
        <v>7246.3647941193603</v>
      </c>
      <c r="X21" s="31">
        <f t="shared" si="2"/>
        <v>7643.6212198716939</v>
      </c>
      <c r="Y21" s="31">
        <f t="shared" ref="Y21:Z24" si="6">J21*T21*(O21/100)</f>
        <v>8122.2528000000002</v>
      </c>
      <c r="Z21" s="31">
        <f t="shared" si="6"/>
        <v>8353.5660000000007</v>
      </c>
      <c r="AA21" s="84">
        <v>0.85599997999999999</v>
      </c>
      <c r="AB21" s="84">
        <v>0.9380000300000001</v>
      </c>
      <c r="AC21" s="84">
        <v>0.96199997000000004</v>
      </c>
      <c r="AD21">
        <f t="shared" si="3"/>
        <v>6797.0903942749046</v>
      </c>
      <c r="AE21" s="84">
        <f t="shared" si="4"/>
        <v>290.4578356637607</v>
      </c>
      <c r="AF21" s="2">
        <f t="shared" si="5"/>
        <v>3543.7741149693325</v>
      </c>
    </row>
    <row r="22" spans="2:32" hidden="1" x14ac:dyDescent="0.25">
      <c r="B22" s="32" t="s">
        <v>104</v>
      </c>
      <c r="C22" s="21" t="s">
        <v>552</v>
      </c>
      <c r="D22" s="21" t="s">
        <v>353</v>
      </c>
      <c r="E22" s="21"/>
      <c r="F22" s="20">
        <v>204</v>
      </c>
      <c r="G22" s="31">
        <v>42.886000000000003</v>
      </c>
      <c r="H22" s="31">
        <v>41.058999999999997</v>
      </c>
      <c r="I22" s="31">
        <v>39.598999999999997</v>
      </c>
      <c r="J22" s="31">
        <v>38.299999999999997</v>
      </c>
      <c r="K22" s="31">
        <v>35.9</v>
      </c>
      <c r="L22" s="31">
        <v>89.926900000000003</v>
      </c>
      <c r="M22" s="31">
        <v>90.662300000000002</v>
      </c>
      <c r="N22" s="31">
        <v>91.520899999999997</v>
      </c>
      <c r="O22" s="31">
        <f>100-7.67</f>
        <v>92.33</v>
      </c>
      <c r="P22" s="31">
        <f>100-68.4</f>
        <v>31.599999999999994</v>
      </c>
      <c r="Q22" s="31">
        <v>6087.3257999999996</v>
      </c>
      <c r="R22" s="31">
        <v>7124.0524000000005</v>
      </c>
      <c r="S22" s="31">
        <v>8397.2074000000011</v>
      </c>
      <c r="T22" s="31">
        <v>10129</v>
      </c>
      <c r="U22" s="31">
        <v>11523</v>
      </c>
      <c r="V22" s="31">
        <f t="shared" si="0"/>
        <v>234764.11320225682</v>
      </c>
      <c r="W22" s="31">
        <f t="shared" si="1"/>
        <v>265193.09107663692</v>
      </c>
      <c r="X22" s="31">
        <f t="shared" si="2"/>
        <v>304326.22637913801</v>
      </c>
      <c r="Y22" s="31">
        <f t="shared" si="6"/>
        <v>358185.64830999996</v>
      </c>
      <c r="Z22" s="31">
        <f t="shared" si="6"/>
        <v>130721.52119999999</v>
      </c>
      <c r="AA22" s="84">
        <v>0.68599997999999995</v>
      </c>
      <c r="AB22" s="84">
        <v>0.74800003000000004</v>
      </c>
      <c r="AC22" s="84">
        <v>0.77400002000000001</v>
      </c>
      <c r="AD22">
        <f t="shared" si="3"/>
        <v>198364.44008111715</v>
      </c>
      <c r="AE22" s="84">
        <f t="shared" si="4"/>
        <v>68777.721075160662</v>
      </c>
      <c r="AF22" s="2">
        <f t="shared" si="5"/>
        <v>133571.08057813891</v>
      </c>
    </row>
    <row r="23" spans="2:32" hidden="1" x14ac:dyDescent="0.25">
      <c r="B23" s="32" t="s">
        <v>59</v>
      </c>
      <c r="C23" s="21" t="s">
        <v>551</v>
      </c>
      <c r="D23" s="21" t="s">
        <v>356</v>
      </c>
      <c r="E23" s="21"/>
      <c r="F23" s="20">
        <v>64</v>
      </c>
      <c r="G23" s="31">
        <v>29.562999999999999</v>
      </c>
      <c r="H23" s="31">
        <v>25.704000000000001</v>
      </c>
      <c r="I23" s="31">
        <v>21.521999999999998</v>
      </c>
      <c r="J23" s="31">
        <v>19.600000000000001</v>
      </c>
      <c r="K23" s="31">
        <v>17.600000000000001</v>
      </c>
      <c r="L23" s="31">
        <v>93.030799999999999</v>
      </c>
      <c r="M23" s="31">
        <v>94.727599999999995</v>
      </c>
      <c r="N23" s="31">
        <v>95.552899999999994</v>
      </c>
      <c r="O23" s="31">
        <f>100-3.8</f>
        <v>96.2</v>
      </c>
      <c r="P23" s="31">
        <f>100-3.26</f>
        <v>96.74</v>
      </c>
      <c r="Q23" s="31">
        <v>522.57339999999999</v>
      </c>
      <c r="R23" s="31">
        <v>597.04719999999998</v>
      </c>
      <c r="S23" s="31">
        <v>674.79340000000002</v>
      </c>
      <c r="T23" s="31">
        <v>784</v>
      </c>
      <c r="U23" s="31">
        <v>829</v>
      </c>
      <c r="V23" s="31">
        <f t="shared" si="0"/>
        <v>14372.177046432653</v>
      </c>
      <c r="W23" s="31">
        <f t="shared" si="1"/>
        <v>14537.372298012748</v>
      </c>
      <c r="X23" s="31">
        <f t="shared" si="2"/>
        <v>13877.055510814487</v>
      </c>
      <c r="Y23" s="31">
        <f t="shared" si="6"/>
        <v>14782.476800000002</v>
      </c>
      <c r="Z23" s="31">
        <f t="shared" si="6"/>
        <v>14114.75296</v>
      </c>
      <c r="AA23" s="84">
        <v>0.87</v>
      </c>
      <c r="AB23" s="84">
        <v>0.9</v>
      </c>
      <c r="AC23" s="84">
        <v>0.95400002000000006</v>
      </c>
      <c r="AD23">
        <f t="shared" si="3"/>
        <v>13083.635068211473</v>
      </c>
      <c r="AE23" s="84">
        <f t="shared" si="4"/>
        <v>638.34427595635532</v>
      </c>
      <c r="AF23" s="2">
        <f t="shared" si="5"/>
        <v>6860.9896720839142</v>
      </c>
    </row>
    <row r="24" spans="2:32" hidden="1" x14ac:dyDescent="0.25">
      <c r="B24" s="32" t="s">
        <v>58</v>
      </c>
      <c r="C24" s="21" t="s">
        <v>550</v>
      </c>
      <c r="D24" s="21" t="s">
        <v>356</v>
      </c>
      <c r="E24" s="21"/>
      <c r="F24" s="20">
        <v>68</v>
      </c>
      <c r="G24" s="31">
        <v>32.582999999999998</v>
      </c>
      <c r="H24" s="31">
        <v>30.245000000000001</v>
      </c>
      <c r="I24" s="31">
        <v>27.349</v>
      </c>
      <c r="J24" s="31">
        <v>25.8</v>
      </c>
      <c r="K24" s="31">
        <v>24.3</v>
      </c>
      <c r="L24" s="31">
        <v>93.338300000000004</v>
      </c>
      <c r="M24" s="31">
        <v>94.441199999999995</v>
      </c>
      <c r="N24" s="31">
        <v>95.440399999999997</v>
      </c>
      <c r="O24" s="31">
        <f>100-4.07</f>
        <v>95.93</v>
      </c>
      <c r="P24" s="31">
        <f>100-3.39</f>
        <v>96.61</v>
      </c>
      <c r="Q24" s="31">
        <v>7815.7209999999995</v>
      </c>
      <c r="R24" s="31">
        <v>8662.4655999999995</v>
      </c>
      <c r="S24" s="31">
        <v>9523.4712</v>
      </c>
      <c r="T24" s="31">
        <v>10738</v>
      </c>
      <c r="U24" s="31">
        <v>11591</v>
      </c>
      <c r="V24" s="31">
        <f t="shared" si="0"/>
        <v>237694.97628212135</v>
      </c>
      <c r="W24" s="31">
        <f t="shared" si="1"/>
        <v>247432.42330006164</v>
      </c>
      <c r="X24" s="31">
        <f t="shared" si="2"/>
        <v>248581.59760695009</v>
      </c>
      <c r="Y24" s="31">
        <f t="shared" si="6"/>
        <v>265764.85572000005</v>
      </c>
      <c r="Z24" s="31">
        <f t="shared" si="6"/>
        <v>272112.98192999995</v>
      </c>
      <c r="AA24" s="84">
        <v>0.64199996999999998</v>
      </c>
      <c r="AB24" s="84">
        <v>0.79199997</v>
      </c>
      <c r="AC24" s="84">
        <v>0.83599997999999998</v>
      </c>
      <c r="AD24">
        <f t="shared" si="3"/>
        <v>195966.47183067611</v>
      </c>
      <c r="AE24" s="84">
        <f t="shared" si="4"/>
        <v>40767.386979171773</v>
      </c>
      <c r="AF24" s="2">
        <f t="shared" si="5"/>
        <v>118366.92940492394</v>
      </c>
    </row>
    <row r="25" spans="2:32" hidden="1" x14ac:dyDescent="0.25">
      <c r="B25" s="32" t="s">
        <v>216</v>
      </c>
      <c r="C25" s="21" t="s">
        <v>549</v>
      </c>
      <c r="D25" s="21" t="s">
        <v>361</v>
      </c>
      <c r="E25" s="21"/>
      <c r="F25" s="20">
        <v>70</v>
      </c>
      <c r="G25" s="31">
        <v>12.346</v>
      </c>
      <c r="H25" s="31">
        <v>9.8179999999999996</v>
      </c>
      <c r="I25" s="31">
        <v>9.1679999999999993</v>
      </c>
      <c r="J25" s="31"/>
      <c r="K25" s="31"/>
      <c r="L25" s="31">
        <v>98.497600000000006</v>
      </c>
      <c r="M25" s="31">
        <v>98.597399999999993</v>
      </c>
      <c r="N25" s="31">
        <v>98.723699999999994</v>
      </c>
      <c r="O25" s="31"/>
      <c r="P25" s="31"/>
      <c r="Q25" s="31">
        <v>3416.9626000000003</v>
      </c>
      <c r="R25" s="31">
        <v>3756.5632000000001</v>
      </c>
      <c r="S25" s="31">
        <v>3776.1702</v>
      </c>
      <c r="T25" s="31"/>
      <c r="U25" s="31"/>
      <c r="V25" s="31">
        <f t="shared" si="0"/>
        <v>41552.020496019773</v>
      </c>
      <c r="W25" s="31">
        <f t="shared" si="1"/>
        <v>36364.631442258658</v>
      </c>
      <c r="X25" s="31">
        <f t="shared" si="2"/>
        <v>34178.074247512479</v>
      </c>
      <c r="Y25" s="31"/>
      <c r="Z25" s="31"/>
      <c r="AA25" s="2">
        <v>0.76</v>
      </c>
      <c r="AB25" s="2">
        <v>0.85400001999999997</v>
      </c>
      <c r="AC25" s="2">
        <v>0.91199996999999999</v>
      </c>
      <c r="AD25">
        <f t="shared" si="3"/>
        <v>31055.395978981524</v>
      </c>
      <c r="AE25" s="84">
        <f t="shared" si="4"/>
        <v>3007.671559123326</v>
      </c>
      <c r="AF25" s="2">
        <f t="shared" si="5"/>
        <v>17031.533769052425</v>
      </c>
    </row>
    <row r="26" spans="2:32" hidden="1" x14ac:dyDescent="0.25">
      <c r="B26" s="32" t="s">
        <v>215</v>
      </c>
      <c r="C26" s="21" t="s">
        <v>548</v>
      </c>
      <c r="D26" s="21" t="s">
        <v>361</v>
      </c>
      <c r="E26" s="21"/>
      <c r="F26" s="20">
        <v>72</v>
      </c>
      <c r="G26" s="31">
        <v>29.033000000000001</v>
      </c>
      <c r="H26" s="31">
        <v>25.939</v>
      </c>
      <c r="I26" s="31">
        <v>24.675999999999998</v>
      </c>
      <c r="J26" s="31"/>
      <c r="K26" s="31"/>
      <c r="L26" s="31">
        <v>93.844300000000004</v>
      </c>
      <c r="M26" s="31">
        <v>93.909599999999998</v>
      </c>
      <c r="N26" s="31">
        <v>96.378699999999995</v>
      </c>
      <c r="O26" s="31"/>
      <c r="P26" s="31"/>
      <c r="Q26" s="31">
        <v>1623.039</v>
      </c>
      <c r="R26" s="31">
        <v>1770.5056000000002</v>
      </c>
      <c r="S26" s="31">
        <v>1893.4418000000001</v>
      </c>
      <c r="T26" s="31"/>
      <c r="U26" s="31"/>
      <c r="V26" s="31">
        <f t="shared" si="0"/>
        <v>44221.021336446145</v>
      </c>
      <c r="W26" s="31">
        <f t="shared" si="1"/>
        <v>43128.119742034411</v>
      </c>
      <c r="X26" s="31">
        <f t="shared" si="2"/>
        <v>45030.605434575693</v>
      </c>
      <c r="Y26" s="31"/>
      <c r="Z26" s="31"/>
      <c r="AA26" s="2">
        <v>0.96400002000000007</v>
      </c>
      <c r="AB26" s="2">
        <v>0.96599997999999998</v>
      </c>
      <c r="AC26" s="2">
        <v>0.96</v>
      </c>
      <c r="AD26">
        <f t="shared" si="3"/>
        <v>41661.762808242842</v>
      </c>
      <c r="AE26" s="84">
        <f t="shared" si="4"/>
        <v>1801.2242173830293</v>
      </c>
      <c r="AF26" s="2">
        <f t="shared" si="5"/>
        <v>21731.493512812936</v>
      </c>
    </row>
    <row r="27" spans="2:32" hidden="1" x14ac:dyDescent="0.25">
      <c r="B27" s="32" t="s">
        <v>213</v>
      </c>
      <c r="C27" s="21" t="s">
        <v>547</v>
      </c>
      <c r="D27" s="21" t="s">
        <v>361</v>
      </c>
      <c r="E27" s="21"/>
      <c r="F27" s="20">
        <v>76</v>
      </c>
      <c r="G27" s="31">
        <v>21.581</v>
      </c>
      <c r="H27" s="31">
        <v>19.832999999999998</v>
      </c>
      <c r="I27" s="31">
        <v>16.405000000000001</v>
      </c>
      <c r="J27" s="31"/>
      <c r="K27" s="31"/>
      <c r="L27" s="31">
        <v>96.589399999999998</v>
      </c>
      <c r="M27" s="31">
        <v>97.275300000000001</v>
      </c>
      <c r="N27" s="31">
        <v>97.653800000000004</v>
      </c>
      <c r="O27" s="31"/>
      <c r="P27" s="31"/>
      <c r="Q27" s="31">
        <v>166700</v>
      </c>
      <c r="R27" s="31">
        <v>179100</v>
      </c>
      <c r="S27" s="31">
        <v>190000</v>
      </c>
      <c r="T27" s="31"/>
      <c r="U27" s="31"/>
      <c r="V27" s="31">
        <f t="shared" si="0"/>
        <v>3474854.5676137996</v>
      </c>
      <c r="W27" s="31">
        <f t="shared" si="1"/>
        <v>3455306.4955958999</v>
      </c>
      <c r="X27" s="31">
        <f t="shared" si="2"/>
        <v>3043820.1191000002</v>
      </c>
      <c r="Y27" s="31"/>
      <c r="Z27" s="31"/>
      <c r="AA27" s="2">
        <v>0.84800003000000002</v>
      </c>
      <c r="AB27" s="2">
        <v>0.97800003000000002</v>
      </c>
      <c r="AC27" s="2">
        <v>0.98199996999999994</v>
      </c>
      <c r="AD27">
        <f t="shared" si="3"/>
        <v>3379289.8563519851</v>
      </c>
      <c r="AE27" s="84">
        <f t="shared" si="4"/>
        <v>54788.853458403748</v>
      </c>
      <c r="AF27" s="2">
        <f t="shared" si="5"/>
        <v>1717039.3549051944</v>
      </c>
    </row>
    <row r="28" spans="2:32" x14ac:dyDescent="0.25">
      <c r="B28" s="32" t="s">
        <v>212</v>
      </c>
      <c r="C28" s="21" t="s">
        <v>546</v>
      </c>
      <c r="D28" s="21" t="s">
        <v>366</v>
      </c>
      <c r="E28" s="21"/>
      <c r="F28" s="20">
        <v>96</v>
      </c>
      <c r="G28" s="31">
        <v>25.12</v>
      </c>
      <c r="H28" s="31">
        <v>21.579000000000001</v>
      </c>
      <c r="I28" s="31">
        <v>20.061</v>
      </c>
      <c r="J28" s="31"/>
      <c r="K28" s="31"/>
      <c r="L28" s="31">
        <v>99.3309</v>
      </c>
      <c r="M28" s="31">
        <v>99.393299999999996</v>
      </c>
      <c r="N28" s="31">
        <v>99.448700000000002</v>
      </c>
      <c r="O28" s="31"/>
      <c r="P28" s="31"/>
      <c r="Q28" s="31">
        <v>310.46159999999998</v>
      </c>
      <c r="R28" s="31">
        <v>348.18299999999999</v>
      </c>
      <c r="S28" s="31">
        <v>384.86720000000003</v>
      </c>
      <c r="T28" s="31"/>
      <c r="U28" s="31"/>
      <c r="V28" s="31">
        <f t="shared" si="0"/>
        <v>7746.6136520321279</v>
      </c>
      <c r="W28" s="31">
        <f t="shared" si="1"/>
        <v>7467.856910713881</v>
      </c>
      <c r="X28" s="31">
        <f t="shared" si="2"/>
        <v>7678.2560135827116</v>
      </c>
      <c r="Y28" s="31"/>
      <c r="Z28" s="31"/>
      <c r="AA28" s="2">
        <v>0.97199996999999994</v>
      </c>
      <c r="AB28" s="2">
        <v>0.96400002000000007</v>
      </c>
      <c r="AC28" s="2">
        <v>0.96199997000000004</v>
      </c>
      <c r="AD28">
        <f t="shared" si="3"/>
        <v>7199.01421128532</v>
      </c>
      <c r="AE28" s="84">
        <f t="shared" si="4"/>
        <v>291.77395886382317</v>
      </c>
      <c r="AF28" s="2">
        <f t="shared" si="5"/>
        <v>3745.3940850745716</v>
      </c>
    </row>
    <row r="29" spans="2:32" hidden="1" x14ac:dyDescent="0.25">
      <c r="B29" s="32" t="s">
        <v>211</v>
      </c>
      <c r="C29" s="21" t="s">
        <v>545</v>
      </c>
      <c r="D29" s="21" t="s">
        <v>361</v>
      </c>
      <c r="E29" s="21"/>
      <c r="F29" s="20">
        <v>100</v>
      </c>
      <c r="G29" s="31">
        <v>8.4469999999999992</v>
      </c>
      <c r="H29" s="31">
        <v>8.6839999999999993</v>
      </c>
      <c r="I29" s="31">
        <v>9.5579999999999998</v>
      </c>
      <c r="J29" s="31"/>
      <c r="K29" s="31"/>
      <c r="L29" s="31">
        <v>98.475200000000001</v>
      </c>
      <c r="M29" s="31">
        <v>98.683499999999995</v>
      </c>
      <c r="N29" s="31">
        <v>98.820999999999998</v>
      </c>
      <c r="O29" s="31"/>
      <c r="P29" s="31"/>
      <c r="Q29" s="31">
        <v>8306.6135999999988</v>
      </c>
      <c r="R29" s="31">
        <v>7888.6</v>
      </c>
      <c r="S29" s="31">
        <v>7661.4620000000004</v>
      </c>
      <c r="T29" s="31"/>
      <c r="U29" s="31"/>
      <c r="V29" s="31">
        <f t="shared" si="0"/>
        <v>69096.074443672347</v>
      </c>
      <c r="W29" s="31">
        <f t="shared" si="1"/>
        <v>67602.739309404002</v>
      </c>
      <c r="X29" s="31">
        <f t="shared" si="2"/>
        <v>72364.892683745173</v>
      </c>
      <c r="Y29" s="31"/>
      <c r="Z29" s="31"/>
      <c r="AA29" s="2">
        <v>0.95199997000000003</v>
      </c>
      <c r="AB29" s="2">
        <v>0.94199997000000002</v>
      </c>
      <c r="AC29" s="2">
        <v>0.95000000000000007</v>
      </c>
      <c r="AD29">
        <f t="shared" si="3"/>
        <v>63681.778401376389</v>
      </c>
      <c r="AE29" s="84">
        <f t="shared" si="4"/>
        <v>3618.2446341872537</v>
      </c>
      <c r="AF29" s="2">
        <f t="shared" si="5"/>
        <v>33650.011517781822</v>
      </c>
    </row>
    <row r="30" spans="2:32" hidden="1" x14ac:dyDescent="0.25">
      <c r="B30" s="32" t="s">
        <v>103</v>
      </c>
      <c r="C30" s="21" t="s">
        <v>544</v>
      </c>
      <c r="D30" s="21" t="s">
        <v>353</v>
      </c>
      <c r="E30" s="21"/>
      <c r="F30" s="20">
        <v>854</v>
      </c>
      <c r="G30" s="31">
        <v>46.078000000000003</v>
      </c>
      <c r="H30" s="31">
        <v>45.012999999999998</v>
      </c>
      <c r="I30" s="31">
        <v>47.819000000000003</v>
      </c>
      <c r="J30" s="31">
        <v>42.4</v>
      </c>
      <c r="K30" s="31">
        <v>40.700000000000003</v>
      </c>
      <c r="L30" s="31">
        <v>90.588899999999995</v>
      </c>
      <c r="M30" s="31">
        <v>91.325900000000004</v>
      </c>
      <c r="N30" s="31">
        <v>91.995800000000003</v>
      </c>
      <c r="O30" s="31">
        <f>100-7.1</f>
        <v>92.9</v>
      </c>
      <c r="P30" s="31">
        <f>100-6.4</f>
        <v>93.6</v>
      </c>
      <c r="Q30" s="31">
        <v>10715.851000000001</v>
      </c>
      <c r="R30" s="31">
        <v>12460.757</v>
      </c>
      <c r="S30" s="31">
        <v>14736.802</v>
      </c>
      <c r="T30" s="31">
        <v>19118</v>
      </c>
      <c r="U30" s="31">
        <v>22150</v>
      </c>
      <c r="V30" s="31">
        <f t="shared" si="0"/>
        <v>447296.26612142404</v>
      </c>
      <c r="W30" s="31">
        <f t="shared" si="1"/>
        <v>512243.37014803686</v>
      </c>
      <c r="X30" s="31">
        <f t="shared" si="2"/>
        <v>648293.60668729688</v>
      </c>
      <c r="Y30" s="31">
        <f t="shared" ref="Y30:Z33" si="7">J30*T30*(O30/100)</f>
        <v>753050.37280000001</v>
      </c>
      <c r="Z30" s="31">
        <f t="shared" si="7"/>
        <v>843808.68</v>
      </c>
      <c r="AA30" s="84">
        <v>0.43200000999999999</v>
      </c>
      <c r="AB30" s="84">
        <v>0.64</v>
      </c>
      <c r="AC30" s="84">
        <v>0.82000000000000006</v>
      </c>
      <c r="AD30">
        <f t="shared" si="3"/>
        <v>327835.75689474359</v>
      </c>
      <c r="AE30" s="84">
        <f t="shared" si="4"/>
        <v>116692.8492037134</v>
      </c>
      <c r="AF30" s="2">
        <f t="shared" si="5"/>
        <v>222264.3030492285</v>
      </c>
    </row>
    <row r="31" spans="2:32" hidden="1" x14ac:dyDescent="0.25">
      <c r="B31" s="32" t="s">
        <v>102</v>
      </c>
      <c r="C31" s="21" t="s">
        <v>543</v>
      </c>
      <c r="D31" s="21" t="s">
        <v>353</v>
      </c>
      <c r="E31" s="21"/>
      <c r="F31" s="20">
        <v>108</v>
      </c>
      <c r="G31" s="31">
        <v>39.735999999999997</v>
      </c>
      <c r="H31" s="31">
        <v>36.091999999999999</v>
      </c>
      <c r="I31" s="31">
        <v>34.581000000000003</v>
      </c>
      <c r="J31" s="31">
        <v>33.299999999999997</v>
      </c>
      <c r="K31" s="31">
        <v>30.1</v>
      </c>
      <c r="L31" s="31">
        <v>88.621200000000002</v>
      </c>
      <c r="M31" s="31">
        <v>89.430800000000005</v>
      </c>
      <c r="N31" s="31">
        <v>90.182599999999994</v>
      </c>
      <c r="O31" s="31">
        <f>100-9.41</f>
        <v>90.59</v>
      </c>
      <c r="P31" s="31">
        <f>100-8.72</f>
        <v>91.28</v>
      </c>
      <c r="Q31" s="31">
        <v>6268.7997999999998</v>
      </c>
      <c r="R31" s="31">
        <v>6792.1368000000002</v>
      </c>
      <c r="S31" s="31">
        <v>7839.4372000000003</v>
      </c>
      <c r="T31" s="31">
        <v>9231</v>
      </c>
      <c r="U31" s="31">
        <v>10057</v>
      </c>
      <c r="V31" s="31">
        <f t="shared" si="0"/>
        <v>220752.77613369757</v>
      </c>
      <c r="W31" s="31">
        <f t="shared" si="1"/>
        <v>219232.27411355317</v>
      </c>
      <c r="X31" s="31">
        <f t="shared" si="2"/>
        <v>244481.04055696688</v>
      </c>
      <c r="Y31" s="31">
        <f t="shared" si="7"/>
        <v>278466.68456999998</v>
      </c>
      <c r="Z31" s="31">
        <f t="shared" si="7"/>
        <v>276318.89096000005</v>
      </c>
      <c r="AA31" s="84">
        <v>0.72800003000000002</v>
      </c>
      <c r="AB31" s="84">
        <v>0.81400002000000005</v>
      </c>
      <c r="AC31" s="84">
        <v>0.92400002000000003</v>
      </c>
      <c r="AD31">
        <f t="shared" si="3"/>
        <v>178455.07551307778</v>
      </c>
      <c r="AE31" s="84">
        <f t="shared" si="4"/>
        <v>18580.554192708663</v>
      </c>
      <c r="AF31" s="2">
        <f t="shared" si="5"/>
        <v>98517.814852893222</v>
      </c>
    </row>
    <row r="32" spans="2:32" hidden="1" x14ac:dyDescent="0.25">
      <c r="B32" s="32" t="s">
        <v>101</v>
      </c>
      <c r="C32" s="21" t="s">
        <v>542</v>
      </c>
      <c r="D32" s="21" t="s">
        <v>353</v>
      </c>
      <c r="E32" s="21"/>
      <c r="F32" s="20">
        <v>116</v>
      </c>
      <c r="G32" s="31">
        <v>31.972000000000001</v>
      </c>
      <c r="H32" s="31">
        <v>25.826000000000001</v>
      </c>
      <c r="I32" s="31">
        <v>24.89</v>
      </c>
      <c r="J32" s="31">
        <v>21.6</v>
      </c>
      <c r="K32" s="31">
        <v>19.7</v>
      </c>
      <c r="L32" s="31">
        <v>91.710099999999997</v>
      </c>
      <c r="M32" s="31">
        <v>92.764899999999997</v>
      </c>
      <c r="N32" s="31">
        <v>93.773300000000006</v>
      </c>
      <c r="O32" s="31">
        <f>100-5.28</f>
        <v>94.72</v>
      </c>
      <c r="P32" s="31">
        <f>100-4.4</f>
        <v>95.6</v>
      </c>
      <c r="Q32" s="31">
        <v>11961.138999999999</v>
      </c>
      <c r="R32" s="31">
        <v>13209.992</v>
      </c>
      <c r="S32" s="31">
        <v>14329.816000000001</v>
      </c>
      <c r="T32" s="31">
        <v>15015</v>
      </c>
      <c r="U32" s="31">
        <v>15893</v>
      </c>
      <c r="V32" s="31">
        <f t="shared" si="0"/>
        <v>350719.17318618292</v>
      </c>
      <c r="W32" s="31">
        <f t="shared" si="1"/>
        <v>316477.89554783539</v>
      </c>
      <c r="X32" s="31">
        <f t="shared" si="2"/>
        <v>334460.40413001599</v>
      </c>
      <c r="Y32" s="31">
        <f t="shared" si="7"/>
        <v>307199.69280000002</v>
      </c>
      <c r="Z32" s="31">
        <f t="shared" si="7"/>
        <v>299316.04759999999</v>
      </c>
      <c r="AA32" s="84">
        <v>0.46200001000000002</v>
      </c>
      <c r="AB32" s="84">
        <v>0.65400002000000002</v>
      </c>
      <c r="AC32" s="84">
        <v>0.85800003000000002</v>
      </c>
      <c r="AD32">
        <f t="shared" si="3"/>
        <v>206976.55001784227</v>
      </c>
      <c r="AE32" s="84">
        <f t="shared" si="4"/>
        <v>47493.367352650137</v>
      </c>
      <c r="AF32" s="2">
        <f t="shared" si="5"/>
        <v>127234.95868524621</v>
      </c>
    </row>
    <row r="33" spans="2:32" hidden="1" x14ac:dyDescent="0.25">
      <c r="B33" s="32" t="s">
        <v>57</v>
      </c>
      <c r="C33" s="21" t="s">
        <v>541</v>
      </c>
      <c r="D33" s="21" t="s">
        <v>356</v>
      </c>
      <c r="E33" s="21"/>
      <c r="F33" s="20">
        <v>120</v>
      </c>
      <c r="G33" s="31">
        <v>37.859000000000002</v>
      </c>
      <c r="H33" s="31">
        <v>37.841000000000001</v>
      </c>
      <c r="I33" s="31">
        <v>37.113</v>
      </c>
      <c r="J33" s="31">
        <v>34.9</v>
      </c>
      <c r="K33" s="31">
        <v>32.299999999999997</v>
      </c>
      <c r="L33" s="31">
        <v>90.965800000000002</v>
      </c>
      <c r="M33" s="31">
        <v>91.066299999999998</v>
      </c>
      <c r="N33" s="31">
        <v>91.320599999999999</v>
      </c>
      <c r="O33" s="31">
        <f>100-8.49</f>
        <v>91.51</v>
      </c>
      <c r="P33" s="31">
        <f>100-7.74</f>
        <v>92.26</v>
      </c>
      <c r="Q33" s="31">
        <v>14774.38</v>
      </c>
      <c r="R33" s="31">
        <v>16633.752</v>
      </c>
      <c r="S33" s="31">
        <v>18666.240000000002</v>
      </c>
      <c r="T33" s="31">
        <v>21816</v>
      </c>
      <c r="U33" s="31">
        <v>24117</v>
      </c>
      <c r="V33" s="31">
        <f t="shared" si="0"/>
        <v>508811.0643098724</v>
      </c>
      <c r="W33" s="31">
        <f t="shared" si="1"/>
        <v>573205.72385077341</v>
      </c>
      <c r="X33" s="31">
        <f t="shared" si="2"/>
        <v>632632.73934857477</v>
      </c>
      <c r="Y33" s="31">
        <f t="shared" si="7"/>
        <v>696737.37384000001</v>
      </c>
      <c r="Z33" s="31">
        <f t="shared" si="7"/>
        <v>718686.11765999999</v>
      </c>
      <c r="AA33" s="84">
        <v>0.51</v>
      </c>
      <c r="AB33" s="84">
        <v>0.67400002000000003</v>
      </c>
      <c r="AC33" s="84">
        <v>0.81400002000000005</v>
      </c>
      <c r="AD33">
        <f t="shared" si="3"/>
        <v>386340.66933953576</v>
      </c>
      <c r="AE33" s="84">
        <f t="shared" si="4"/>
        <v>117669.67686618009</v>
      </c>
      <c r="AF33" s="2">
        <f t="shared" si="5"/>
        <v>252005.17310285792</v>
      </c>
    </row>
    <row r="34" spans="2:32" x14ac:dyDescent="0.25">
      <c r="B34" s="32" t="s">
        <v>210</v>
      </c>
      <c r="C34" s="21" t="s">
        <v>540</v>
      </c>
      <c r="D34" s="21" t="s">
        <v>366</v>
      </c>
      <c r="E34" s="21"/>
      <c r="F34" s="20">
        <v>124</v>
      </c>
      <c r="G34" s="31">
        <v>11.577999999999999</v>
      </c>
      <c r="H34" s="31">
        <v>10.592000000000001</v>
      </c>
      <c r="I34" s="31">
        <v>10.625</v>
      </c>
      <c r="J34" s="31"/>
      <c r="K34" s="31"/>
      <c r="L34" s="31">
        <v>99.452299999999994</v>
      </c>
      <c r="M34" s="31">
        <v>99.491900000000001</v>
      </c>
      <c r="N34" s="31">
        <v>99.519000000000005</v>
      </c>
      <c r="O34" s="31"/>
      <c r="P34" s="31"/>
      <c r="Q34" s="31">
        <v>29952.04</v>
      </c>
      <c r="R34" s="31">
        <v>31376.92</v>
      </c>
      <c r="S34" s="31">
        <v>32997.660000000003</v>
      </c>
      <c r="T34" s="31"/>
      <c r="U34" s="31"/>
      <c r="V34" s="31">
        <f t="shared" si="0"/>
        <v>344885.3792133797</v>
      </c>
      <c r="W34" s="31">
        <f t="shared" si="1"/>
        <v>330655.69506553211</v>
      </c>
      <c r="X34" s="31">
        <f t="shared" si="2"/>
        <v>348913.75083862507</v>
      </c>
      <c r="Y34" s="31"/>
      <c r="Z34" s="31"/>
      <c r="AA34" s="2">
        <v>0.88800003000000005</v>
      </c>
      <c r="AB34" s="2">
        <v>0.92400002000000003</v>
      </c>
      <c r="AC34" s="2">
        <v>0.88400002</v>
      </c>
      <c r="AD34">
        <f t="shared" si="3"/>
        <v>305525.8688536656</v>
      </c>
      <c r="AE34" s="84">
        <f t="shared" si="4"/>
        <v>40473.988119005495</v>
      </c>
      <c r="AF34" s="2">
        <f t="shared" si="5"/>
        <v>172999.92848633556</v>
      </c>
    </row>
    <row r="35" spans="2:32" hidden="1" x14ac:dyDescent="0.25">
      <c r="B35" s="32" t="s">
        <v>56</v>
      </c>
      <c r="C35" s="21" t="s">
        <v>539</v>
      </c>
      <c r="D35" s="21" t="s">
        <v>356</v>
      </c>
      <c r="E35" s="21"/>
      <c r="F35" s="20">
        <v>132</v>
      </c>
      <c r="G35" s="31">
        <v>31.54</v>
      </c>
      <c r="H35" s="31">
        <v>27.791</v>
      </c>
      <c r="I35" s="31">
        <v>24.260999999999999</v>
      </c>
      <c r="J35" s="31">
        <v>19.899999999999999</v>
      </c>
      <c r="K35" s="31">
        <v>18.2</v>
      </c>
      <c r="L35" s="31">
        <v>96.303700000000006</v>
      </c>
      <c r="M35" s="31">
        <v>96.882099999999994</v>
      </c>
      <c r="N35" s="31">
        <v>97.425399999999996</v>
      </c>
      <c r="O35" s="31">
        <f>100-1.85</f>
        <v>98.15</v>
      </c>
      <c r="P35" s="31">
        <f>100-1.63</f>
        <v>98.37</v>
      </c>
      <c r="Q35" s="31">
        <v>414.80399999999997</v>
      </c>
      <c r="R35" s="31">
        <v>454.60340000000002</v>
      </c>
      <c r="S35" s="31">
        <v>491.61840000000001</v>
      </c>
      <c r="T35" s="31">
        <v>520</v>
      </c>
      <c r="U35" s="31">
        <v>544</v>
      </c>
      <c r="V35" s="31">
        <f t="shared" si="0"/>
        <v>12599.334256051921</v>
      </c>
      <c r="W35" s="31">
        <f t="shared" si="1"/>
        <v>12239.971248555597</v>
      </c>
      <c r="X35" s="31">
        <f t="shared" si="2"/>
        <v>11620.07749545421</v>
      </c>
      <c r="Y35" s="31">
        <f t="shared" ref="Y35:Z38" si="8">J35*T35*(O35/100)</f>
        <v>10156.562</v>
      </c>
      <c r="Z35" s="31">
        <f t="shared" si="8"/>
        <v>9739.4169599999987</v>
      </c>
      <c r="AA35" s="84">
        <v>0.88</v>
      </c>
      <c r="AB35" s="84">
        <v>0.91199996999999999</v>
      </c>
      <c r="AC35" s="84">
        <v>0.97400002000000008</v>
      </c>
      <c r="AD35">
        <f t="shared" si="3"/>
        <v>11162.853411483567</v>
      </c>
      <c r="AE35" s="84">
        <f t="shared" si="4"/>
        <v>302.12178248025867</v>
      </c>
      <c r="AF35" s="2">
        <f t="shared" si="5"/>
        <v>5732.4875969819132</v>
      </c>
    </row>
    <row r="36" spans="2:32" hidden="1" x14ac:dyDescent="0.25">
      <c r="B36" s="32" t="s">
        <v>100</v>
      </c>
      <c r="C36" s="21" t="s">
        <v>538</v>
      </c>
      <c r="D36" s="21" t="s">
        <v>353</v>
      </c>
      <c r="E36" s="21"/>
      <c r="F36" s="20">
        <v>140</v>
      </c>
      <c r="G36" s="31">
        <v>40.140999999999998</v>
      </c>
      <c r="H36" s="31">
        <v>38.572000000000003</v>
      </c>
      <c r="I36" s="31">
        <v>35.622999999999998</v>
      </c>
      <c r="J36" s="31">
        <v>34.5</v>
      </c>
      <c r="K36" s="31">
        <v>32.799999999999997</v>
      </c>
      <c r="L36" s="31">
        <v>88.779499999999999</v>
      </c>
      <c r="M36" s="31">
        <v>88.7042</v>
      </c>
      <c r="N36" s="31">
        <v>89.464200000000005</v>
      </c>
      <c r="O36" s="31">
        <f>100-9.58</f>
        <v>90.42</v>
      </c>
      <c r="P36" s="31">
        <f>100-8.83</f>
        <v>91.17</v>
      </c>
      <c r="Q36" s="31">
        <v>3502.4537999999998</v>
      </c>
      <c r="R36" s="31">
        <v>3888.5122000000001</v>
      </c>
      <c r="S36" s="31">
        <v>4259.6945999999998</v>
      </c>
      <c r="T36" s="31">
        <v>4854</v>
      </c>
      <c r="U36" s="31">
        <v>5343</v>
      </c>
      <c r="V36" s="31">
        <f t="shared" si="0"/>
        <v>124816.87285180329</v>
      </c>
      <c r="W36" s="31">
        <f t="shared" si="1"/>
        <v>133045.38280012913</v>
      </c>
      <c r="X36" s="31">
        <f t="shared" si="2"/>
        <v>135755.7511284776</v>
      </c>
      <c r="Y36" s="31">
        <f t="shared" si="8"/>
        <v>151420.04459999999</v>
      </c>
      <c r="Z36" s="31">
        <f t="shared" si="8"/>
        <v>159775.78968000002</v>
      </c>
      <c r="AA36" s="84">
        <v>0.43799999000000001</v>
      </c>
      <c r="AB36" s="84">
        <v>0.43799999000000001</v>
      </c>
      <c r="AC36" s="84">
        <v>0.54</v>
      </c>
      <c r="AD36">
        <f t="shared" si="3"/>
        <v>58273.87633600273</v>
      </c>
      <c r="AE36" s="84">
        <f t="shared" si="4"/>
        <v>62447.645519099693</v>
      </c>
      <c r="AF36" s="2">
        <f t="shared" si="5"/>
        <v>60360.760927551208</v>
      </c>
    </row>
    <row r="37" spans="2:32" hidden="1" x14ac:dyDescent="0.25">
      <c r="B37" s="32" t="s">
        <v>99</v>
      </c>
      <c r="C37" s="21" t="s">
        <v>537</v>
      </c>
      <c r="D37" s="21" t="s">
        <v>353</v>
      </c>
      <c r="E37" s="21"/>
      <c r="F37" s="20">
        <v>148</v>
      </c>
      <c r="G37" s="31">
        <v>47.662999999999997</v>
      </c>
      <c r="H37" s="31">
        <v>47.631</v>
      </c>
      <c r="I37" s="31">
        <v>45.84</v>
      </c>
      <c r="J37" s="31">
        <v>43.4</v>
      </c>
      <c r="K37" s="31">
        <v>40.700000000000003</v>
      </c>
      <c r="L37" s="31">
        <v>87.058400000000006</v>
      </c>
      <c r="M37" s="31">
        <v>86.816900000000004</v>
      </c>
      <c r="N37" s="31">
        <v>87.023300000000006</v>
      </c>
      <c r="O37" s="31">
        <f>100-12.39</f>
        <v>87.61</v>
      </c>
      <c r="P37" s="31">
        <f>100-11.48</f>
        <v>88.52</v>
      </c>
      <c r="Q37" s="31">
        <v>7609.2536</v>
      </c>
      <c r="R37" s="31">
        <v>9041.1154000000006</v>
      </c>
      <c r="S37" s="31">
        <v>10617.508</v>
      </c>
      <c r="T37" s="31">
        <v>12778</v>
      </c>
      <c r="U37" s="31">
        <v>14469</v>
      </c>
      <c r="V37" s="31">
        <f t="shared" ref="V37:V68" si="9">+Q37*G37*L37/100</f>
        <v>315743.27830794873</v>
      </c>
      <c r="W37" s="31">
        <f t="shared" ref="W37:W68" si="10">+R37*H37*M37/100</f>
        <v>373866.01280703058</v>
      </c>
      <c r="X37" s="31">
        <f t="shared" ref="X37:X68" si="11">+S37*I37*N37/100</f>
        <v>423548.11567644583</v>
      </c>
      <c r="Y37" s="31">
        <f t="shared" si="8"/>
        <v>485854.57171999995</v>
      </c>
      <c r="Z37" s="31">
        <f t="shared" si="8"/>
        <v>521283.92316000001</v>
      </c>
      <c r="AA37" s="84">
        <v>0.22399999999999998</v>
      </c>
      <c r="AB37" s="84">
        <v>0.24600000000000002</v>
      </c>
      <c r="AC37" s="84">
        <v>0.23</v>
      </c>
      <c r="AD37">
        <f t="shared" ref="AD37:AD68" si="12">W37*AB37</f>
        <v>91971.039150529527</v>
      </c>
      <c r="AE37" s="84">
        <f t="shared" ref="AE37:AE68" si="13">X37*(1-AC37)</f>
        <v>326132.04907086329</v>
      </c>
      <c r="AF37" s="2">
        <f t="shared" ref="AF37:AF68" si="14">AVERAGE(AD37:AE37)</f>
        <v>209051.54411069641</v>
      </c>
    </row>
    <row r="38" spans="2:32" hidden="1" x14ac:dyDescent="0.25">
      <c r="B38" s="32" t="s">
        <v>536</v>
      </c>
      <c r="C38" s="21"/>
      <c r="D38" s="21"/>
      <c r="E38" s="21">
        <v>9</v>
      </c>
      <c r="F38" s="20">
        <v>830</v>
      </c>
      <c r="G38" s="31">
        <v>11.353</v>
      </c>
      <c r="H38" s="31">
        <v>10.481</v>
      </c>
      <c r="I38" s="31">
        <v>9.4260000000000002</v>
      </c>
      <c r="J38" s="31">
        <v>9.3000000000000007</v>
      </c>
      <c r="K38" s="31">
        <v>9.4</v>
      </c>
      <c r="L38" s="31">
        <v>99.421400000000006</v>
      </c>
      <c r="M38" s="31">
        <v>99.4542</v>
      </c>
      <c r="N38" s="31">
        <v>99.481499999999997</v>
      </c>
      <c r="O38" s="31"/>
      <c r="P38" s="31"/>
      <c r="Q38" s="31"/>
      <c r="R38" s="31"/>
      <c r="S38" s="31"/>
      <c r="T38" s="31"/>
      <c r="U38" s="31"/>
      <c r="V38" s="31">
        <f t="shared" si="9"/>
        <v>0</v>
      </c>
      <c r="W38" s="31">
        <f t="shared" si="10"/>
        <v>0</v>
      </c>
      <c r="X38" s="31">
        <f t="shared" si="11"/>
        <v>0</v>
      </c>
      <c r="Y38" s="31">
        <f t="shared" si="8"/>
        <v>0</v>
      </c>
      <c r="Z38" s="31">
        <f t="shared" si="8"/>
        <v>0</v>
      </c>
      <c r="AA38" s="84">
        <v>0</v>
      </c>
      <c r="AB38" s="84">
        <v>0</v>
      </c>
      <c r="AC38" s="84">
        <v>0</v>
      </c>
      <c r="AD38">
        <f t="shared" si="12"/>
        <v>0</v>
      </c>
      <c r="AE38" s="84">
        <f t="shared" si="13"/>
        <v>0</v>
      </c>
      <c r="AF38" s="2">
        <f t="shared" si="14"/>
        <v>0</v>
      </c>
    </row>
    <row r="39" spans="2:32" hidden="1" x14ac:dyDescent="0.25">
      <c r="B39" s="32" t="s">
        <v>209</v>
      </c>
      <c r="C39" s="21" t="s">
        <v>535</v>
      </c>
      <c r="D39" s="21" t="s">
        <v>361</v>
      </c>
      <c r="E39" s="21"/>
      <c r="F39" s="20">
        <v>152</v>
      </c>
      <c r="G39" s="31">
        <v>18.007000000000001</v>
      </c>
      <c r="H39" s="31">
        <v>15.728999999999999</v>
      </c>
      <c r="I39" s="31">
        <v>15.04</v>
      </c>
      <c r="J39" s="31"/>
      <c r="K39" s="31"/>
      <c r="L39" s="31">
        <v>98.852400000000003</v>
      </c>
      <c r="M39" s="31">
        <v>99.197999999999993</v>
      </c>
      <c r="N39" s="31">
        <v>99.280799999999999</v>
      </c>
      <c r="O39" s="31"/>
      <c r="P39" s="31"/>
      <c r="Q39" s="31">
        <v>14830.352000000001</v>
      </c>
      <c r="R39" s="31">
        <v>15776.447</v>
      </c>
      <c r="S39" s="31">
        <v>16635.02</v>
      </c>
      <c r="T39" s="31"/>
      <c r="U39" s="31"/>
      <c r="V39" s="31">
        <f t="shared" si="9"/>
        <v>263985.4809602272</v>
      </c>
      <c r="W39" s="31">
        <f t="shared" si="10"/>
        <v>246157.59002939874</v>
      </c>
      <c r="X39" s="31">
        <f t="shared" si="11"/>
        <v>248391.3292798464</v>
      </c>
      <c r="Y39" s="31"/>
      <c r="Z39" s="31"/>
      <c r="AA39" s="2">
        <v>0.92</v>
      </c>
      <c r="AB39" s="2">
        <v>0.9480000300000001</v>
      </c>
      <c r="AC39" s="2">
        <v>0.95000000000000007</v>
      </c>
      <c r="AD39">
        <f t="shared" si="12"/>
        <v>233357.40273259772</v>
      </c>
      <c r="AE39" s="84">
        <f t="shared" si="13"/>
        <v>12419.566463992303</v>
      </c>
      <c r="AF39" s="2">
        <f t="shared" si="14"/>
        <v>122888.48459829501</v>
      </c>
    </row>
    <row r="40" spans="2:32" hidden="1" x14ac:dyDescent="0.25">
      <c r="B40" s="32" t="s">
        <v>55</v>
      </c>
      <c r="C40" s="21" t="s">
        <v>534</v>
      </c>
      <c r="D40" s="21" t="s">
        <v>823</v>
      </c>
      <c r="E40" s="21">
        <v>4</v>
      </c>
      <c r="F40" s="20">
        <v>156</v>
      </c>
      <c r="G40" s="31">
        <v>15.898</v>
      </c>
      <c r="H40" s="31">
        <v>13.968</v>
      </c>
      <c r="I40" s="31">
        <v>13.536</v>
      </c>
      <c r="J40" s="31">
        <v>11.9</v>
      </c>
      <c r="K40" s="31">
        <v>10.8</v>
      </c>
      <c r="L40" s="31">
        <v>97.207599999999999</v>
      </c>
      <c r="M40" s="31">
        <v>97.441699999999997</v>
      </c>
      <c r="N40" s="31">
        <v>97.714200000000005</v>
      </c>
      <c r="O40" s="31">
        <f>100-1.96</f>
        <v>98.04</v>
      </c>
      <c r="P40" s="31">
        <f>100-1.77</f>
        <v>98.23</v>
      </c>
      <c r="Q40" s="31">
        <v>1229000</v>
      </c>
      <c r="R40" s="31">
        <v>1280000</v>
      </c>
      <c r="S40" s="31">
        <v>1318000</v>
      </c>
      <c r="T40" s="31">
        <v>1369743</v>
      </c>
      <c r="U40" s="31">
        <v>1387792</v>
      </c>
      <c r="V40" s="31">
        <f t="shared" si="9"/>
        <v>18993044.960792001</v>
      </c>
      <c r="W40" s="31">
        <f t="shared" si="10"/>
        <v>17421640.519680001</v>
      </c>
      <c r="X40" s="31">
        <f t="shared" si="11"/>
        <v>17432651.039616</v>
      </c>
      <c r="Y40" s="31">
        <f>J40*T40*(O40/100)</f>
        <v>15980462.842680002</v>
      </c>
      <c r="Z40" s="31">
        <f>K40*U40*(P40/100)</f>
        <v>14722863.281280002</v>
      </c>
      <c r="AA40" s="84">
        <v>0.83199997000000003</v>
      </c>
      <c r="AB40" s="84">
        <v>0.86</v>
      </c>
      <c r="AC40" s="84">
        <v>0.93400002000000004</v>
      </c>
      <c r="AD40">
        <f t="shared" si="12"/>
        <v>14982610.8469248</v>
      </c>
      <c r="AE40" s="84">
        <f t="shared" si="13"/>
        <v>1150554.6199616345</v>
      </c>
      <c r="AF40" s="2">
        <f t="shared" si="14"/>
        <v>8066582.7334432174</v>
      </c>
    </row>
    <row r="41" spans="2:32" x14ac:dyDescent="0.25">
      <c r="B41" s="32" t="s">
        <v>533</v>
      </c>
      <c r="C41" s="18" t="s">
        <v>532</v>
      </c>
      <c r="D41" s="21" t="s">
        <v>366</v>
      </c>
      <c r="E41" s="21">
        <v>5</v>
      </c>
      <c r="F41" s="20">
        <v>344</v>
      </c>
      <c r="G41" s="31">
        <v>9.9740000000000002</v>
      </c>
      <c r="H41" s="31">
        <v>8.4459999999999997</v>
      </c>
      <c r="I41" s="31">
        <v>8.1649999999999991</v>
      </c>
      <c r="J41" s="31"/>
      <c r="K41" s="31"/>
      <c r="L41" s="31">
        <v>99.593699999999998</v>
      </c>
      <c r="M41" s="31">
        <v>99.619299999999996</v>
      </c>
      <c r="N41" s="31">
        <v>99.632400000000004</v>
      </c>
      <c r="O41" s="31"/>
      <c r="P41" s="31"/>
      <c r="Q41" s="31">
        <v>6446.22</v>
      </c>
      <c r="R41" s="31">
        <v>6727.54</v>
      </c>
      <c r="S41" s="31">
        <v>6915.52</v>
      </c>
      <c r="T41" s="31"/>
      <c r="U41" s="31"/>
      <c r="V41" s="31">
        <f t="shared" si="9"/>
        <v>64033.369327188368</v>
      </c>
      <c r="W41" s="31">
        <f t="shared" si="10"/>
        <v>56604.48604358812</v>
      </c>
      <c r="X41" s="31">
        <f t="shared" si="11"/>
        <v>56257.654648339201</v>
      </c>
      <c r="Y41" s="31"/>
      <c r="Z41" s="31"/>
      <c r="AA41" s="2">
        <v>0</v>
      </c>
      <c r="AB41" s="2">
        <v>0</v>
      </c>
      <c r="AC41" s="2">
        <v>0</v>
      </c>
      <c r="AD41">
        <f t="shared" si="12"/>
        <v>0</v>
      </c>
      <c r="AE41" s="84">
        <f t="shared" si="13"/>
        <v>56257.654648339201</v>
      </c>
      <c r="AF41" s="2">
        <f t="shared" si="14"/>
        <v>28128.827324169601</v>
      </c>
    </row>
    <row r="42" spans="2:32" x14ac:dyDescent="0.25">
      <c r="B42" s="32" t="s">
        <v>531</v>
      </c>
      <c r="C42" s="18" t="s">
        <v>530</v>
      </c>
      <c r="D42" s="21" t="s">
        <v>366</v>
      </c>
      <c r="E42" s="21">
        <v>6</v>
      </c>
      <c r="F42" s="20">
        <v>446</v>
      </c>
      <c r="G42" s="31">
        <v>10.897</v>
      </c>
      <c r="H42" s="31">
        <v>7.4909999999999997</v>
      </c>
      <c r="I42" s="31">
        <v>8.2799999999999994</v>
      </c>
      <c r="J42" s="31"/>
      <c r="K42" s="31"/>
      <c r="L42" s="31">
        <v>99.474000000000004</v>
      </c>
      <c r="M42" s="31">
        <v>99.491600000000005</v>
      </c>
      <c r="N42" s="31">
        <v>99.536600000000007</v>
      </c>
      <c r="O42" s="31"/>
      <c r="P42" s="31"/>
      <c r="Q42" s="31">
        <v>422.98500000000001</v>
      </c>
      <c r="R42" s="31">
        <v>457.76319999999998</v>
      </c>
      <c r="S42" s="31">
        <v>512.95280000000002</v>
      </c>
      <c r="T42" s="31"/>
      <c r="U42" s="31"/>
      <c r="V42" s="31">
        <f t="shared" si="9"/>
        <v>4585.0227977133009</v>
      </c>
      <c r="W42" s="31">
        <f t="shared" si="10"/>
        <v>3411.6705657969792</v>
      </c>
      <c r="X42" s="31">
        <f t="shared" si="11"/>
        <v>4227.5674312813444</v>
      </c>
      <c r="Y42" s="31"/>
      <c r="Z42" s="31"/>
      <c r="AA42" s="2">
        <v>0</v>
      </c>
      <c r="AB42" s="2">
        <v>0</v>
      </c>
      <c r="AC42" s="2">
        <v>0</v>
      </c>
      <c r="AD42">
        <f t="shared" si="12"/>
        <v>0</v>
      </c>
      <c r="AE42" s="84">
        <f t="shared" si="13"/>
        <v>4227.5674312813444</v>
      </c>
      <c r="AF42" s="2">
        <f t="shared" si="14"/>
        <v>2113.7837156406722</v>
      </c>
    </row>
    <row r="43" spans="2:32" hidden="1" x14ac:dyDescent="0.25">
      <c r="B43" s="32" t="s">
        <v>208</v>
      </c>
      <c r="C43" s="21" t="s">
        <v>529</v>
      </c>
      <c r="D43" s="21" t="s">
        <v>361</v>
      </c>
      <c r="E43" s="21"/>
      <c r="F43" s="20">
        <v>170</v>
      </c>
      <c r="G43" s="31">
        <v>23.969000000000001</v>
      </c>
      <c r="H43" s="31">
        <v>21.986999999999998</v>
      </c>
      <c r="I43" s="31">
        <v>20.605</v>
      </c>
      <c r="J43" s="31"/>
      <c r="K43" s="31"/>
      <c r="L43" s="31">
        <v>97.6023</v>
      </c>
      <c r="M43" s="31">
        <v>97.9529</v>
      </c>
      <c r="N43" s="31">
        <v>98.093100000000007</v>
      </c>
      <c r="O43" s="31"/>
      <c r="P43" s="31"/>
      <c r="Q43" s="31">
        <v>37783.732000000004</v>
      </c>
      <c r="R43" s="31">
        <v>41085.633000000002</v>
      </c>
      <c r="S43" s="31">
        <v>44356.995999999999</v>
      </c>
      <c r="T43" s="31"/>
      <c r="U43" s="31"/>
      <c r="V43" s="31">
        <f t="shared" si="9"/>
        <v>883923.78345287114</v>
      </c>
      <c r="W43" s="31">
        <f t="shared" si="10"/>
        <v>884857.33875376475</v>
      </c>
      <c r="X43" s="31">
        <f t="shared" si="11"/>
        <v>896547.29609370197</v>
      </c>
      <c r="Y43" s="31"/>
      <c r="Z43" s="31"/>
      <c r="AA43" s="2">
        <v>0.80199997000000001</v>
      </c>
      <c r="AB43" s="2">
        <v>0.84199996999999993</v>
      </c>
      <c r="AC43" s="2">
        <v>0.92599998000000006</v>
      </c>
      <c r="AD43">
        <f t="shared" si="12"/>
        <v>745049.85268494964</v>
      </c>
      <c r="AE43" s="84">
        <f t="shared" si="13"/>
        <v>66344.517841879817</v>
      </c>
      <c r="AF43" s="2">
        <f t="shared" si="14"/>
        <v>405697.18526341475</v>
      </c>
    </row>
    <row r="44" spans="2:32" hidden="1" x14ac:dyDescent="0.25">
      <c r="B44" s="32" t="s">
        <v>98</v>
      </c>
      <c r="C44" s="21" t="s">
        <v>528</v>
      </c>
      <c r="D44" s="21" t="s">
        <v>353</v>
      </c>
      <c r="E44" s="21"/>
      <c r="F44" s="20">
        <v>174</v>
      </c>
      <c r="G44" s="31">
        <v>33.252000000000002</v>
      </c>
      <c r="H44" s="31">
        <v>33.119</v>
      </c>
      <c r="I44" s="31">
        <v>32.746000000000002</v>
      </c>
      <c r="J44" s="31">
        <v>35.700000000000003</v>
      </c>
      <c r="K44" s="31">
        <v>32.5</v>
      </c>
      <c r="L44" s="31">
        <v>93.210999999999999</v>
      </c>
      <c r="M44" s="31">
        <v>94.235799999999998</v>
      </c>
      <c r="N44" s="31">
        <v>95.158500000000004</v>
      </c>
      <c r="O44" s="31">
        <f>100-6.28</f>
        <v>93.72</v>
      </c>
      <c r="P44" s="31">
        <f>100-5.5</f>
        <v>94.5</v>
      </c>
      <c r="Q44" s="31">
        <v>507.38947999999999</v>
      </c>
      <c r="R44" s="31">
        <v>563.88423</v>
      </c>
      <c r="S44" s="31">
        <v>629.03505000000007</v>
      </c>
      <c r="T44" s="31">
        <v>832</v>
      </c>
      <c r="U44" s="31">
        <v>933</v>
      </c>
      <c r="V44" s="31">
        <f t="shared" si="9"/>
        <v>15726.294258359505</v>
      </c>
      <c r="W44" s="31">
        <f t="shared" si="10"/>
        <v>17598.801219083725</v>
      </c>
      <c r="X44" s="31">
        <f t="shared" si="11"/>
        <v>19601.111095004475</v>
      </c>
      <c r="Y44" s="31">
        <f>J44*T44*(O44/100)</f>
        <v>27837.089280000004</v>
      </c>
      <c r="Z44" s="31">
        <f>K44*U44*(P44/100)</f>
        <v>28654.762499999997</v>
      </c>
      <c r="AA44" s="84">
        <v>0.66199996999999999</v>
      </c>
      <c r="AB44" s="84">
        <v>0.77</v>
      </c>
      <c r="AC44" s="84">
        <v>0.75199996999999996</v>
      </c>
      <c r="AD44">
        <f t="shared" si="12"/>
        <v>13551.076938694468</v>
      </c>
      <c r="AE44" s="84">
        <f t="shared" si="13"/>
        <v>4861.0761395944437</v>
      </c>
      <c r="AF44" s="2">
        <f t="shared" si="14"/>
        <v>9206.0765391444565</v>
      </c>
    </row>
    <row r="45" spans="2:32" hidden="1" x14ac:dyDescent="0.25">
      <c r="B45" s="32" t="s">
        <v>207</v>
      </c>
      <c r="C45" s="21" t="s">
        <v>527</v>
      </c>
      <c r="D45" s="21" t="s">
        <v>356</v>
      </c>
      <c r="E45" s="21"/>
      <c r="F45" s="20">
        <v>178</v>
      </c>
      <c r="G45" s="31">
        <v>35.951000000000001</v>
      </c>
      <c r="H45" s="31">
        <v>36.408999999999999</v>
      </c>
      <c r="I45" s="31">
        <v>34.744</v>
      </c>
      <c r="J45" s="31">
        <v>34.6</v>
      </c>
      <c r="K45" s="31">
        <v>32.5</v>
      </c>
      <c r="L45" s="31">
        <v>92.816900000000004</v>
      </c>
      <c r="M45" s="31">
        <v>92.340800000000002</v>
      </c>
      <c r="N45" s="31">
        <v>92.076599999999999</v>
      </c>
      <c r="O45" s="31">
        <f>100-6.67</f>
        <v>93.33</v>
      </c>
      <c r="P45" s="31">
        <f>100-6.11</f>
        <v>93.89</v>
      </c>
      <c r="Q45" s="31">
        <v>2881.2562000000003</v>
      </c>
      <c r="R45" s="31">
        <v>3184.0606000000002</v>
      </c>
      <c r="S45" s="31">
        <v>3550.4332000000004</v>
      </c>
      <c r="T45" s="31">
        <v>4508</v>
      </c>
      <c r="U45" s="31">
        <v>5003</v>
      </c>
      <c r="V45" s="31">
        <f t="shared" si="9"/>
        <v>96143.496350711823</v>
      </c>
      <c r="W45" s="31">
        <f t="shared" si="10"/>
        <v>107049.26959437745</v>
      </c>
      <c r="X45" s="31">
        <f t="shared" si="11"/>
        <v>113582.24190107924</v>
      </c>
      <c r="Y45" s="31">
        <f>J45*T45*(O45/100)</f>
        <v>145573.14744000003</v>
      </c>
      <c r="Z45" s="31">
        <f>K45*U45*(P45/100)</f>
        <v>152662.79274999999</v>
      </c>
      <c r="AA45" s="84">
        <v>0.33</v>
      </c>
      <c r="AB45" s="84">
        <v>0.44400002</v>
      </c>
      <c r="AC45" s="84">
        <v>0.80800003000000009</v>
      </c>
      <c r="AD45">
        <f t="shared" si="12"/>
        <v>47529.877840888978</v>
      </c>
      <c r="AE45" s="84">
        <f t="shared" si="13"/>
        <v>21807.787037539947</v>
      </c>
      <c r="AF45" s="2">
        <f t="shared" si="14"/>
        <v>34668.832439214464</v>
      </c>
    </row>
    <row r="46" spans="2:32" hidden="1" x14ac:dyDescent="0.25">
      <c r="B46" s="32" t="s">
        <v>205</v>
      </c>
      <c r="C46" s="21" t="s">
        <v>526</v>
      </c>
      <c r="D46" s="21" t="s">
        <v>361</v>
      </c>
      <c r="E46" s="21"/>
      <c r="F46" s="20">
        <v>188</v>
      </c>
      <c r="G46" s="31">
        <v>21.434999999999999</v>
      </c>
      <c r="H46" s="31">
        <v>19.111999999999998</v>
      </c>
      <c r="I46" s="31">
        <v>16.643000000000001</v>
      </c>
      <c r="J46" s="31"/>
      <c r="K46" s="31"/>
      <c r="L46" s="31">
        <v>98.816800000000001</v>
      </c>
      <c r="M46" s="31">
        <v>98.952600000000004</v>
      </c>
      <c r="N46" s="31">
        <v>99.011200000000002</v>
      </c>
      <c r="O46" s="31"/>
      <c r="P46" s="31"/>
      <c r="Q46" s="31">
        <v>3659.1852000000003</v>
      </c>
      <c r="R46" s="31">
        <v>4096.9502000000002</v>
      </c>
      <c r="S46" s="31">
        <v>4456.1872000000003</v>
      </c>
      <c r="T46" s="31"/>
      <c r="U46" s="31"/>
      <c r="V46" s="31">
        <f t="shared" si="9"/>
        <v>77506.596163496026</v>
      </c>
      <c r="W46" s="31">
        <f t="shared" si="10"/>
        <v>77480.788467782593</v>
      </c>
      <c r="X46" s="31">
        <f t="shared" si="11"/>
        <v>73430.986738143809</v>
      </c>
      <c r="Y46" s="31"/>
      <c r="Z46" s="31"/>
      <c r="AA46" s="2">
        <v>0.87</v>
      </c>
      <c r="AB46" s="2">
        <v>0.90199996999999998</v>
      </c>
      <c r="AC46" s="2">
        <v>0.88599998000000002</v>
      </c>
      <c r="AD46">
        <f t="shared" si="12"/>
        <v>69887.668873516246</v>
      </c>
      <c r="AE46" s="84">
        <f t="shared" si="13"/>
        <v>8371.133956768128</v>
      </c>
      <c r="AF46" s="2">
        <f t="shared" si="14"/>
        <v>39129.401415142187</v>
      </c>
    </row>
    <row r="47" spans="2:32" hidden="1" x14ac:dyDescent="0.25">
      <c r="B47" s="32" t="s">
        <v>53</v>
      </c>
      <c r="C47" s="21" t="s">
        <v>525</v>
      </c>
      <c r="D47" s="21" t="s">
        <v>356</v>
      </c>
      <c r="E47" s="21"/>
      <c r="F47" s="20">
        <v>384</v>
      </c>
      <c r="G47" s="31">
        <v>37.616</v>
      </c>
      <c r="H47" s="31">
        <v>37.082999999999998</v>
      </c>
      <c r="I47" s="31">
        <v>35.127000000000002</v>
      </c>
      <c r="J47" s="31">
        <v>33</v>
      </c>
      <c r="K47" s="31">
        <v>31.2</v>
      </c>
      <c r="L47" s="31">
        <v>90.430899999999994</v>
      </c>
      <c r="M47" s="31">
        <v>90.78</v>
      </c>
      <c r="N47" s="31">
        <v>91.324200000000005</v>
      </c>
      <c r="O47" s="31">
        <f>100-6.88</f>
        <v>93.12</v>
      </c>
      <c r="P47" s="31">
        <f>100-6.11</f>
        <v>93.89</v>
      </c>
      <c r="Q47" s="31">
        <v>15924.794</v>
      </c>
      <c r="R47" s="31">
        <v>18067.432000000001</v>
      </c>
      <c r="S47" s="31">
        <v>20141.476999999999</v>
      </c>
      <c r="T47" s="31">
        <v>22015</v>
      </c>
      <c r="U47" s="31">
        <v>24503</v>
      </c>
      <c r="V47" s="31">
        <f t="shared" si="9"/>
        <v>541705.55355680699</v>
      </c>
      <c r="W47" s="31">
        <f t="shared" si="10"/>
        <v>608221.08050107677</v>
      </c>
      <c r="X47" s="31">
        <f t="shared" si="11"/>
        <v>646127.5392729711</v>
      </c>
      <c r="Y47" s="31">
        <f>J47*T47*(O47/100)</f>
        <v>676512.14399999997</v>
      </c>
      <c r="Z47" s="31">
        <f>K47*U47*(P47/100)</f>
        <v>717783.04103999992</v>
      </c>
      <c r="AA47" s="84">
        <v>0.59</v>
      </c>
      <c r="AB47" s="84">
        <v>0.70800003</v>
      </c>
      <c r="AC47" s="84">
        <v>0.76800003000000006</v>
      </c>
      <c r="AD47">
        <f t="shared" si="12"/>
        <v>430620.54324139474</v>
      </c>
      <c r="AE47" s="84">
        <f t="shared" si="13"/>
        <v>149901.56972750308</v>
      </c>
      <c r="AF47" s="2">
        <f t="shared" si="14"/>
        <v>290261.0564844489</v>
      </c>
    </row>
    <row r="48" spans="2:32" x14ac:dyDescent="0.25">
      <c r="B48" s="32" t="s">
        <v>203</v>
      </c>
      <c r="C48" s="21" t="s">
        <v>524</v>
      </c>
      <c r="D48" s="21" t="s">
        <v>366</v>
      </c>
      <c r="E48" s="21"/>
      <c r="F48" s="20">
        <v>191</v>
      </c>
      <c r="G48" s="31">
        <v>10.468999999999999</v>
      </c>
      <c r="H48" s="31">
        <v>9.1920000000000002</v>
      </c>
      <c r="I48" s="31">
        <v>9.5559999999999992</v>
      </c>
      <c r="J48" s="31"/>
      <c r="K48" s="31"/>
      <c r="L48" s="31">
        <v>99.289400000000001</v>
      </c>
      <c r="M48" s="31">
        <v>99.3108</v>
      </c>
      <c r="N48" s="31">
        <v>99.380799999999994</v>
      </c>
      <c r="O48" s="31"/>
      <c r="P48" s="31"/>
      <c r="Q48" s="31">
        <v>4558</v>
      </c>
      <c r="R48" s="31">
        <v>4437</v>
      </c>
      <c r="S48" s="31">
        <v>4436.8002000000006</v>
      </c>
      <c r="T48" s="31"/>
      <c r="U48" s="31"/>
      <c r="V48" s="31">
        <f t="shared" si="9"/>
        <v>47378.62000958799</v>
      </c>
      <c r="W48" s="31">
        <f t="shared" si="10"/>
        <v>40503.814441632006</v>
      </c>
      <c r="X48" s="31">
        <f t="shared" si="11"/>
        <v>42135.533906892248</v>
      </c>
      <c r="Y48" s="31"/>
      <c r="Z48" s="31"/>
      <c r="AA48" s="2">
        <v>0.91800003000000008</v>
      </c>
      <c r="AB48" s="2">
        <v>0.94400002000000005</v>
      </c>
      <c r="AC48" s="2">
        <v>0.96</v>
      </c>
      <c r="AD48">
        <f t="shared" si="12"/>
        <v>38235.601642976908</v>
      </c>
      <c r="AE48" s="84">
        <f t="shared" si="13"/>
        <v>1685.4213562756913</v>
      </c>
      <c r="AF48" s="2">
        <f t="shared" si="14"/>
        <v>19960.5114996263</v>
      </c>
    </row>
    <row r="49" spans="2:32" hidden="1" x14ac:dyDescent="0.25">
      <c r="B49" s="32" t="s">
        <v>202</v>
      </c>
      <c r="C49" s="21" t="s">
        <v>523</v>
      </c>
      <c r="D49" s="21" t="s">
        <v>361</v>
      </c>
      <c r="E49" s="21"/>
      <c r="F49" s="20">
        <v>192</v>
      </c>
      <c r="G49" s="31">
        <v>13.103999999999999</v>
      </c>
      <c r="H49" s="31">
        <v>12.047000000000001</v>
      </c>
      <c r="I49" s="31">
        <v>10.499000000000001</v>
      </c>
      <c r="J49" s="31"/>
      <c r="K49" s="31"/>
      <c r="L49" s="31">
        <v>99.041899999999998</v>
      </c>
      <c r="M49" s="31">
        <v>99.386300000000006</v>
      </c>
      <c r="N49" s="31">
        <v>99.488200000000006</v>
      </c>
      <c r="O49" s="31"/>
      <c r="P49" s="31"/>
      <c r="Q49" s="31">
        <v>10989.04</v>
      </c>
      <c r="R49" s="31">
        <v>11136.124</v>
      </c>
      <c r="S49" s="31">
        <v>11201.531999999999</v>
      </c>
      <c r="T49" s="31"/>
      <c r="U49" s="31"/>
      <c r="V49" s="31">
        <f t="shared" si="9"/>
        <v>142620.71251768703</v>
      </c>
      <c r="W49" s="31">
        <f t="shared" si="10"/>
        <v>133333.56501967358</v>
      </c>
      <c r="X49" s="31">
        <f t="shared" si="11"/>
        <v>117002.98266929277</v>
      </c>
      <c r="Y49" s="31"/>
      <c r="Z49" s="31"/>
      <c r="AA49" s="2">
        <v>0.96400002000000007</v>
      </c>
      <c r="AB49" s="2">
        <v>0.90599998000000004</v>
      </c>
      <c r="AC49" s="2">
        <v>0.92400002000000003</v>
      </c>
      <c r="AD49">
        <f t="shared" si="12"/>
        <v>120800.20724115297</v>
      </c>
      <c r="AE49" s="84">
        <f t="shared" si="13"/>
        <v>8892.224342806594</v>
      </c>
      <c r="AF49" s="2">
        <f t="shared" si="14"/>
        <v>64846.215791979783</v>
      </c>
    </row>
    <row r="50" spans="2:32" x14ac:dyDescent="0.25">
      <c r="B50" s="32" t="s">
        <v>201</v>
      </c>
      <c r="C50" s="21" t="s">
        <v>522</v>
      </c>
      <c r="D50" s="21" t="s">
        <v>366</v>
      </c>
      <c r="E50" s="21"/>
      <c r="F50" s="20">
        <v>196</v>
      </c>
      <c r="G50" s="31">
        <v>14.007999999999999</v>
      </c>
      <c r="H50" s="31">
        <v>11.968999999999999</v>
      </c>
      <c r="I50" s="31">
        <v>11.513999999999999</v>
      </c>
      <c r="J50" s="31"/>
      <c r="K50" s="31"/>
      <c r="L50" s="31">
        <v>99.350300000000004</v>
      </c>
      <c r="M50" s="31">
        <v>99.417699999999996</v>
      </c>
      <c r="N50" s="31">
        <v>99.453299999999999</v>
      </c>
      <c r="O50" s="31"/>
      <c r="P50" s="31"/>
      <c r="Q50" s="31">
        <v>753.697</v>
      </c>
      <c r="R50" s="31">
        <v>806.94240000000002</v>
      </c>
      <c r="S50" s="31">
        <v>853.66380000000004</v>
      </c>
      <c r="T50" s="31"/>
      <c r="U50" s="31"/>
      <c r="V50" s="31">
        <f t="shared" si="9"/>
        <v>10489.193630118727</v>
      </c>
      <c r="W50" s="31">
        <f t="shared" si="10"/>
        <v>9602.053342051051</v>
      </c>
      <c r="X50" s="31">
        <f t="shared" si="11"/>
        <v>9775.3493855421766</v>
      </c>
      <c r="Y50" s="31"/>
      <c r="Z50" s="31"/>
      <c r="AA50" s="2">
        <v>0.97400002000000008</v>
      </c>
      <c r="AB50" s="2">
        <v>0.97599997999999999</v>
      </c>
      <c r="AC50" s="2">
        <v>0.97599997999999999</v>
      </c>
      <c r="AD50">
        <f t="shared" si="12"/>
        <v>9371.6038698007596</v>
      </c>
      <c r="AE50" s="84">
        <f t="shared" si="13"/>
        <v>234.60858076000005</v>
      </c>
      <c r="AF50" s="2">
        <f t="shared" si="14"/>
        <v>4803.1062252803795</v>
      </c>
    </row>
    <row r="51" spans="2:32" x14ac:dyDescent="0.25">
      <c r="B51" s="32" t="s">
        <v>200</v>
      </c>
      <c r="C51" s="21" t="s">
        <v>521</v>
      </c>
      <c r="D51" s="21" t="s">
        <v>366</v>
      </c>
      <c r="E51" s="21"/>
      <c r="F51" s="20">
        <v>203</v>
      </c>
      <c r="G51" s="31">
        <v>8.6859999999999999</v>
      </c>
      <c r="H51" s="31">
        <v>8.9619999999999997</v>
      </c>
      <c r="I51" s="31">
        <v>10.564</v>
      </c>
      <c r="J51" s="31"/>
      <c r="K51" s="31"/>
      <c r="L51" s="31">
        <v>99.478899999999996</v>
      </c>
      <c r="M51" s="31">
        <v>99.610299999999995</v>
      </c>
      <c r="N51" s="31">
        <v>99.624399999999994</v>
      </c>
      <c r="O51" s="31"/>
      <c r="P51" s="31"/>
      <c r="Q51" s="31">
        <v>10305.6</v>
      </c>
      <c r="R51" s="31">
        <v>10225.106</v>
      </c>
      <c r="S51" s="31">
        <v>10350.686</v>
      </c>
      <c r="T51" s="31"/>
      <c r="U51" s="31"/>
      <c r="V51" s="31">
        <f t="shared" si="9"/>
        <v>89047.98184482241</v>
      </c>
      <c r="W51" s="31">
        <f t="shared" si="10"/>
        <v>91280.28902430911</v>
      </c>
      <c r="X51" s="31">
        <f t="shared" si="11"/>
        <v>108933.94841022856</v>
      </c>
      <c r="Y51" s="31"/>
      <c r="Z51" s="31"/>
      <c r="AA51" s="2">
        <v>0.97400002000000008</v>
      </c>
      <c r="AB51" s="2">
        <v>0.97800003000000002</v>
      </c>
      <c r="AC51" s="2">
        <v>0.98400001999999998</v>
      </c>
      <c r="AD51">
        <f t="shared" si="12"/>
        <v>89272.125404182982</v>
      </c>
      <c r="AE51" s="84">
        <f t="shared" si="13"/>
        <v>1742.9409958846916</v>
      </c>
      <c r="AF51" s="2">
        <f t="shared" si="14"/>
        <v>45507.533200033839</v>
      </c>
    </row>
    <row r="52" spans="2:32" hidden="1" x14ac:dyDescent="0.25">
      <c r="B52" s="32" t="s">
        <v>520</v>
      </c>
      <c r="C52" s="18" t="s">
        <v>519</v>
      </c>
      <c r="D52" s="21" t="s">
        <v>353</v>
      </c>
      <c r="E52" s="21"/>
      <c r="F52" s="20">
        <v>408</v>
      </c>
      <c r="G52" s="31">
        <v>18.140999999999998</v>
      </c>
      <c r="H52" s="31">
        <v>15.118</v>
      </c>
      <c r="I52" s="31">
        <v>13.811999999999999</v>
      </c>
      <c r="J52" s="31">
        <v>14.2</v>
      </c>
      <c r="K52" s="31">
        <v>14.4</v>
      </c>
      <c r="L52" s="31">
        <v>95.236199999999997</v>
      </c>
      <c r="M52" s="31">
        <v>95.011600000000001</v>
      </c>
      <c r="N52" s="31">
        <v>95.198899999999995</v>
      </c>
      <c r="O52" s="31">
        <f>100-2.51</f>
        <v>97.49</v>
      </c>
      <c r="P52" s="31">
        <f>100-2.23</f>
        <v>97.77</v>
      </c>
      <c r="Q52" s="31">
        <v>22216.322</v>
      </c>
      <c r="R52" s="31">
        <v>23155.47</v>
      </c>
      <c r="S52" s="31">
        <v>23722.633999999998</v>
      </c>
      <c r="T52" s="31">
        <v>24854</v>
      </c>
      <c r="U52" s="31">
        <v>25355</v>
      </c>
      <c r="V52" s="31">
        <f t="shared" si="9"/>
        <v>383826.93064636341</v>
      </c>
      <c r="W52" s="31">
        <f t="shared" si="10"/>
        <v>332601.78315687343</v>
      </c>
      <c r="X52" s="31">
        <f t="shared" si="11"/>
        <v>311925.87958198704</v>
      </c>
      <c r="Y52" s="31">
        <f>J52*T52*(O52/100)</f>
        <v>344068.33731999999</v>
      </c>
      <c r="Z52" s="31">
        <f>K52*U52*(P52/100)</f>
        <v>356970.0024</v>
      </c>
      <c r="AA52" s="84">
        <v>0.46599997999999998</v>
      </c>
      <c r="AB52" s="84">
        <v>0.64</v>
      </c>
      <c r="AC52" s="84">
        <v>0.89</v>
      </c>
      <c r="AD52">
        <f t="shared" si="12"/>
        <v>212865.141220399</v>
      </c>
      <c r="AE52" s="84">
        <f t="shared" si="13"/>
        <v>34311.846754018574</v>
      </c>
      <c r="AF52" s="2">
        <f t="shared" si="14"/>
        <v>123588.49398720879</v>
      </c>
    </row>
    <row r="53" spans="2:32" hidden="1" x14ac:dyDescent="0.25">
      <c r="B53" s="32" t="s">
        <v>198</v>
      </c>
      <c r="C53" s="21" t="s">
        <v>518</v>
      </c>
      <c r="D53" s="21" t="s">
        <v>353</v>
      </c>
      <c r="E53" s="21"/>
      <c r="F53" s="20">
        <v>180</v>
      </c>
      <c r="G53" s="31">
        <v>49.969000000000001</v>
      </c>
      <c r="H53" s="31">
        <v>48.323</v>
      </c>
      <c r="I53" s="31">
        <v>45.058</v>
      </c>
      <c r="J53" s="31">
        <v>42.1</v>
      </c>
      <c r="K53" s="31">
        <v>39.200000000000003</v>
      </c>
      <c r="L53" s="31">
        <v>87.243499999999997</v>
      </c>
      <c r="M53" s="31">
        <v>88.814700000000002</v>
      </c>
      <c r="N53" s="31">
        <v>88.337800000000001</v>
      </c>
      <c r="O53" s="31">
        <f>100-10.95</f>
        <v>89.05</v>
      </c>
      <c r="P53" s="31">
        <f>100-10.24</f>
        <v>89.76</v>
      </c>
      <c r="Q53" s="31">
        <v>49626</v>
      </c>
      <c r="R53" s="31">
        <v>57421</v>
      </c>
      <c r="S53" s="31">
        <v>65966</v>
      </c>
      <c r="T53" s="31">
        <v>75190</v>
      </c>
      <c r="U53" s="31">
        <v>85054</v>
      </c>
      <c r="V53" s="31">
        <f t="shared" si="9"/>
        <v>2163430.80626139</v>
      </c>
      <c r="W53" s="31">
        <f t="shared" si="10"/>
        <v>2464390.3138865014</v>
      </c>
      <c r="X53" s="31">
        <f t="shared" si="11"/>
        <v>2625660.9206225839</v>
      </c>
      <c r="Y53" s="31">
        <f>J53*T53*(O53/100)</f>
        <v>2818876.8594999998</v>
      </c>
      <c r="Z53" s="31">
        <f>K53*U53*(P53/100)</f>
        <v>2992703.2396800006</v>
      </c>
      <c r="AA53" s="84">
        <v>0.20399999999999999</v>
      </c>
      <c r="AB53" s="84">
        <v>0.40599997999999998</v>
      </c>
      <c r="AC53" s="84">
        <v>0.67800003000000009</v>
      </c>
      <c r="AD53">
        <f t="shared" si="12"/>
        <v>1000542.4181501132</v>
      </c>
      <c r="AE53" s="84">
        <f t="shared" si="13"/>
        <v>845462.73767064419</v>
      </c>
      <c r="AF53" s="2">
        <f t="shared" si="14"/>
        <v>923002.57791037869</v>
      </c>
    </row>
    <row r="54" spans="2:32" x14ac:dyDescent="0.25">
      <c r="B54" s="32" t="s">
        <v>197</v>
      </c>
      <c r="C54" s="21" t="s">
        <v>517</v>
      </c>
      <c r="D54" s="21" t="s">
        <v>366</v>
      </c>
      <c r="E54" s="21"/>
      <c r="F54" s="20">
        <v>208</v>
      </c>
      <c r="G54" s="31">
        <v>12.648</v>
      </c>
      <c r="H54" s="31">
        <v>12.015000000000001</v>
      </c>
      <c r="I54" s="31">
        <v>11.545999999999999</v>
      </c>
      <c r="J54" s="31"/>
      <c r="K54" s="31"/>
      <c r="L54" s="31">
        <v>99.496799999999993</v>
      </c>
      <c r="M54" s="31">
        <v>99.538399999999996</v>
      </c>
      <c r="N54" s="31">
        <v>99.563900000000004</v>
      </c>
      <c r="O54" s="31"/>
      <c r="P54" s="31"/>
      <c r="Q54" s="31">
        <v>5278.8662000000004</v>
      </c>
      <c r="R54" s="31">
        <v>5371.0064000000002</v>
      </c>
      <c r="S54" s="31">
        <v>5467.5158000000001</v>
      </c>
      <c r="T54" s="31"/>
      <c r="U54" s="31"/>
      <c r="V54" s="31">
        <f t="shared" si="9"/>
        <v>66431.127651921677</v>
      </c>
      <c r="W54" s="31">
        <f t="shared" si="10"/>
        <v>64234.759221008069</v>
      </c>
      <c r="X54" s="31">
        <f t="shared" si="11"/>
        <v>62852.636491681718</v>
      </c>
      <c r="Y54" s="31"/>
      <c r="Z54" s="31"/>
      <c r="AA54" s="2">
        <v>0.91400002000000002</v>
      </c>
      <c r="AB54" s="2">
        <v>0.96599997999999998</v>
      </c>
      <c r="AC54" s="2">
        <v>0.9</v>
      </c>
      <c r="AD54">
        <f t="shared" si="12"/>
        <v>62050.776122798612</v>
      </c>
      <c r="AE54" s="84">
        <f t="shared" si="13"/>
        <v>6285.2636491681706</v>
      </c>
      <c r="AF54" s="2">
        <f t="shared" si="14"/>
        <v>34168.019885983391</v>
      </c>
    </row>
    <row r="55" spans="2:32" hidden="1" x14ac:dyDescent="0.25">
      <c r="B55" s="32" t="s">
        <v>52</v>
      </c>
      <c r="C55" s="21" t="s">
        <v>516</v>
      </c>
      <c r="D55" s="21" t="s">
        <v>356</v>
      </c>
      <c r="E55" s="21"/>
      <c r="F55" s="20">
        <v>262</v>
      </c>
      <c r="G55" s="31">
        <v>34.594999999999999</v>
      </c>
      <c r="H55" s="31">
        <v>31.396999999999998</v>
      </c>
      <c r="I55" s="31">
        <v>28.687000000000001</v>
      </c>
      <c r="J55" s="31">
        <v>28.4</v>
      </c>
      <c r="K55" s="31">
        <v>26.9</v>
      </c>
      <c r="L55" s="31">
        <v>89.816299999999998</v>
      </c>
      <c r="M55" s="31">
        <v>90.561199999999999</v>
      </c>
      <c r="N55" s="31">
        <v>91.5047</v>
      </c>
      <c r="O55" s="31">
        <f>100-7.5</f>
        <v>92.5</v>
      </c>
      <c r="P55" s="31">
        <f>100-6.65</f>
        <v>93.35</v>
      </c>
      <c r="Q55" s="31">
        <v>664.83659999999998</v>
      </c>
      <c r="R55" s="31">
        <v>761.52080000000001</v>
      </c>
      <c r="S55" s="31">
        <v>834.43580000000009</v>
      </c>
      <c r="T55" s="31">
        <v>975</v>
      </c>
      <c r="U55" s="31">
        <v>1066</v>
      </c>
      <c r="V55" s="31">
        <f t="shared" si="9"/>
        <v>20657.768918560851</v>
      </c>
      <c r="W55" s="31">
        <f t="shared" si="10"/>
        <v>21652.701639385246</v>
      </c>
      <c r="X55" s="31">
        <f t="shared" si="11"/>
        <v>21903.900772669349</v>
      </c>
      <c r="Y55" s="31">
        <f>J55*T55*(O55/100)</f>
        <v>25613.25</v>
      </c>
      <c r="Z55" s="31">
        <f>K55*U55*(P55/100)</f>
        <v>26768.4859</v>
      </c>
      <c r="AA55" s="84">
        <v>0.32</v>
      </c>
      <c r="AB55" s="84">
        <v>0.58599997999999998</v>
      </c>
      <c r="AC55" s="84">
        <v>0.8180000300000001</v>
      </c>
      <c r="AD55">
        <f t="shared" si="12"/>
        <v>12688.482727625722</v>
      </c>
      <c r="AE55" s="84">
        <f t="shared" si="13"/>
        <v>3986.5092835087962</v>
      </c>
      <c r="AF55" s="2">
        <f t="shared" si="14"/>
        <v>8337.49600556726</v>
      </c>
    </row>
    <row r="56" spans="2:32" hidden="1" x14ac:dyDescent="0.25">
      <c r="B56" s="32" t="s">
        <v>195</v>
      </c>
      <c r="C56" s="21" t="s">
        <v>515</v>
      </c>
      <c r="D56" s="21" t="s">
        <v>361</v>
      </c>
      <c r="E56" s="21"/>
      <c r="F56" s="20">
        <v>214</v>
      </c>
      <c r="G56" s="31">
        <v>25.824999999999999</v>
      </c>
      <c r="H56" s="31">
        <v>24.318000000000001</v>
      </c>
      <c r="I56" s="31">
        <v>22.719000000000001</v>
      </c>
      <c r="J56" s="31"/>
      <c r="K56" s="31"/>
      <c r="L56" s="31">
        <v>95.840199999999996</v>
      </c>
      <c r="M56" s="31">
        <v>96.491399999999999</v>
      </c>
      <c r="N56" s="31">
        <v>97.043800000000005</v>
      </c>
      <c r="O56" s="31"/>
      <c r="P56" s="31"/>
      <c r="Q56" s="31">
        <v>8408.3365999999987</v>
      </c>
      <c r="R56" s="31">
        <v>9111.2494000000006</v>
      </c>
      <c r="S56" s="31">
        <v>9812.7489999999998</v>
      </c>
      <c r="T56" s="31"/>
      <c r="U56" s="31"/>
      <c r="V56" s="31">
        <f t="shared" si="9"/>
        <v>208112.48280947335</v>
      </c>
      <c r="W56" s="31">
        <f t="shared" si="10"/>
        <v>213793.45041416783</v>
      </c>
      <c r="X56" s="31">
        <f t="shared" si="11"/>
        <v>216345.4150949746</v>
      </c>
      <c r="Y56" s="31"/>
      <c r="Z56" s="31"/>
      <c r="AA56" s="2">
        <v>0.75599998000000002</v>
      </c>
      <c r="AB56" s="2">
        <v>0.78400002000000002</v>
      </c>
      <c r="AC56" s="2">
        <v>0.86</v>
      </c>
      <c r="AD56">
        <f t="shared" si="12"/>
        <v>167614.06940057658</v>
      </c>
      <c r="AE56" s="84">
        <f t="shared" si="13"/>
        <v>30288.358113296446</v>
      </c>
      <c r="AF56" s="2">
        <f t="shared" si="14"/>
        <v>98951.213756936515</v>
      </c>
    </row>
    <row r="57" spans="2:32" hidden="1" x14ac:dyDescent="0.25">
      <c r="B57" s="32" t="s">
        <v>51</v>
      </c>
      <c r="C57" s="21" t="s">
        <v>514</v>
      </c>
      <c r="D57" s="21" t="s">
        <v>361</v>
      </c>
      <c r="E57" s="21"/>
      <c r="F57" s="20">
        <v>218</v>
      </c>
      <c r="G57" s="31">
        <v>25.588000000000001</v>
      </c>
      <c r="H57" s="31">
        <v>23.184999999999999</v>
      </c>
      <c r="I57" s="31">
        <v>20.989000000000001</v>
      </c>
      <c r="J57" s="31">
        <v>19.8</v>
      </c>
      <c r="K57" s="31">
        <v>18.2</v>
      </c>
      <c r="L57" s="31">
        <v>96.6751</v>
      </c>
      <c r="M57" s="31">
        <v>97.510499999999993</v>
      </c>
      <c r="N57" s="31">
        <v>97.892899999999997</v>
      </c>
      <c r="O57" s="31">
        <f>100-1.91</f>
        <v>98.09</v>
      </c>
      <c r="P57" s="31">
        <f>100-1.71</f>
        <v>98.29</v>
      </c>
      <c r="Q57" s="31">
        <v>11785.353999999999</v>
      </c>
      <c r="R57" s="31">
        <v>12619.392</v>
      </c>
      <c r="S57" s="31">
        <v>13342.771000000001</v>
      </c>
      <c r="T57" s="31">
        <v>15446</v>
      </c>
      <c r="U57" s="31">
        <v>16355</v>
      </c>
      <c r="V57" s="31">
        <f t="shared" si="9"/>
        <v>291536.94874708413</v>
      </c>
      <c r="W57" s="31">
        <f t="shared" si="10"/>
        <v>285296.80939536961</v>
      </c>
      <c r="X57" s="31">
        <f t="shared" si="11"/>
        <v>274150.45703724417</v>
      </c>
      <c r="Y57" s="31">
        <f t="shared" ref="Y57:Z59" si="15">J57*T57*(O57/100)</f>
        <v>299989.43171999999</v>
      </c>
      <c r="Z57" s="31">
        <f t="shared" si="15"/>
        <v>292570.99690000003</v>
      </c>
      <c r="AA57" s="84">
        <v>0.81</v>
      </c>
      <c r="AB57" s="84">
        <v>0.76199996999999997</v>
      </c>
      <c r="AC57" s="84">
        <v>0.75</v>
      </c>
      <c r="AD57">
        <f t="shared" si="12"/>
        <v>217396.16020036736</v>
      </c>
      <c r="AE57" s="84">
        <f t="shared" si="13"/>
        <v>68537.614259311042</v>
      </c>
      <c r="AF57" s="2">
        <f t="shared" si="14"/>
        <v>142966.88722983919</v>
      </c>
    </row>
    <row r="58" spans="2:32" hidden="1" x14ac:dyDescent="0.25">
      <c r="B58" s="32" t="s">
        <v>194</v>
      </c>
      <c r="C58" s="21" t="s">
        <v>513</v>
      </c>
      <c r="D58" s="21" t="s">
        <v>356</v>
      </c>
      <c r="E58" s="21"/>
      <c r="F58" s="20">
        <v>818</v>
      </c>
      <c r="G58" s="31">
        <v>26.873000000000001</v>
      </c>
      <c r="H58" s="31">
        <v>25.739000000000001</v>
      </c>
      <c r="I58" s="31">
        <v>24.83</v>
      </c>
      <c r="J58" s="31">
        <v>22.3</v>
      </c>
      <c r="K58" s="31">
        <v>20.2</v>
      </c>
      <c r="L58" s="31">
        <v>95.203800000000001</v>
      </c>
      <c r="M58" s="31">
        <v>96.049899999999994</v>
      </c>
      <c r="N58" s="31">
        <v>96.522099999999995</v>
      </c>
      <c r="O58" s="31">
        <f>100-2.2</f>
        <v>97.8</v>
      </c>
      <c r="P58" s="31">
        <f>100-1.9</f>
        <v>98.1</v>
      </c>
      <c r="Q58" s="31">
        <v>66335.861999999994</v>
      </c>
      <c r="R58" s="31">
        <v>72920.165999999997</v>
      </c>
      <c r="S58" s="31">
        <v>80068.718999999997</v>
      </c>
      <c r="T58" s="31">
        <v>88179</v>
      </c>
      <c r="U58" s="31">
        <v>94810</v>
      </c>
      <c r="V58" s="31">
        <f t="shared" si="9"/>
        <v>1697144.4662462941</v>
      </c>
      <c r="W58" s="31">
        <f t="shared" si="10"/>
        <v>1802753.0357512243</v>
      </c>
      <c r="X58" s="31">
        <f t="shared" si="11"/>
        <v>1918961.9440137518</v>
      </c>
      <c r="Y58" s="31">
        <f t="shared" si="15"/>
        <v>1923131.0825999998</v>
      </c>
      <c r="Z58" s="31">
        <f t="shared" si="15"/>
        <v>1878773.922</v>
      </c>
      <c r="AA58" s="84">
        <v>0.91</v>
      </c>
      <c r="AB58" s="84">
        <v>0.97800003000000002</v>
      </c>
      <c r="AC58" s="84">
        <v>0.97599997999999999</v>
      </c>
      <c r="AD58">
        <f t="shared" si="12"/>
        <v>1763092.5230472884</v>
      </c>
      <c r="AE58" s="84">
        <f t="shared" si="13"/>
        <v>46055.125035568941</v>
      </c>
      <c r="AF58" s="2">
        <f t="shared" si="14"/>
        <v>904573.82404142863</v>
      </c>
    </row>
    <row r="59" spans="2:32" hidden="1" x14ac:dyDescent="0.25">
      <c r="B59" s="32" t="s">
        <v>49</v>
      </c>
      <c r="C59" s="21" t="s">
        <v>512</v>
      </c>
      <c r="D59" s="21" t="s">
        <v>356</v>
      </c>
      <c r="E59" s="21"/>
      <c r="F59" s="20">
        <v>222</v>
      </c>
      <c r="G59" s="31">
        <v>27.427</v>
      </c>
      <c r="H59" s="31">
        <v>21.856000000000002</v>
      </c>
      <c r="I59" s="31">
        <v>20.376999999999999</v>
      </c>
      <c r="J59" s="31">
        <v>20</v>
      </c>
      <c r="K59" s="31">
        <v>18.899999999999999</v>
      </c>
      <c r="L59" s="31">
        <v>96.798400000000001</v>
      </c>
      <c r="M59" s="31">
        <v>97.359899999999996</v>
      </c>
      <c r="N59" s="31">
        <v>97.846100000000007</v>
      </c>
      <c r="O59" s="31">
        <f>100-1.9</f>
        <v>98.1</v>
      </c>
      <c r="P59" s="31">
        <f>100-1.69</f>
        <v>98.31</v>
      </c>
      <c r="Q59" s="31">
        <v>5829.3094000000001</v>
      </c>
      <c r="R59" s="31">
        <v>5993.5334000000003</v>
      </c>
      <c r="S59" s="31">
        <v>6108.8008</v>
      </c>
      <c r="T59" s="31">
        <v>6385</v>
      </c>
      <c r="U59" s="31">
        <v>6610</v>
      </c>
      <c r="V59" s="31">
        <f t="shared" si="9"/>
        <v>154761.73582105577</v>
      </c>
      <c r="W59" s="31">
        <f t="shared" si="10"/>
        <v>127536.27581358746</v>
      </c>
      <c r="X59" s="31">
        <f t="shared" si="11"/>
        <v>121797.87999039344</v>
      </c>
      <c r="Y59" s="31">
        <f t="shared" si="15"/>
        <v>125273.7</v>
      </c>
      <c r="Z59" s="31">
        <f t="shared" si="15"/>
        <v>122817.69989999998</v>
      </c>
      <c r="AA59" s="84">
        <v>0.97</v>
      </c>
      <c r="AB59" s="84">
        <v>0.91199996999999999</v>
      </c>
      <c r="AC59" s="84">
        <v>0.94599997999999996</v>
      </c>
      <c r="AD59">
        <f t="shared" si="12"/>
        <v>116313.07971590348</v>
      </c>
      <c r="AE59" s="84">
        <f t="shared" si="13"/>
        <v>6577.0879554388503</v>
      </c>
      <c r="AF59" s="2">
        <f t="shared" si="14"/>
        <v>61445.083835671168</v>
      </c>
    </row>
    <row r="60" spans="2:32" x14ac:dyDescent="0.25">
      <c r="B60" s="32" t="s">
        <v>193</v>
      </c>
      <c r="C60" s="21" t="s">
        <v>511</v>
      </c>
      <c r="D60" s="21" t="s">
        <v>366</v>
      </c>
      <c r="E60" s="21"/>
      <c r="F60" s="20">
        <v>226</v>
      </c>
      <c r="G60" s="31">
        <v>42.381999999999998</v>
      </c>
      <c r="H60" s="31">
        <v>39.125</v>
      </c>
      <c r="I60" s="31">
        <v>38.027000000000001</v>
      </c>
      <c r="J60" s="31"/>
      <c r="K60" s="31"/>
      <c r="L60" s="31">
        <v>88.935699999999997</v>
      </c>
      <c r="M60" s="31">
        <v>89.453900000000004</v>
      </c>
      <c r="N60" s="31">
        <v>90.054400000000001</v>
      </c>
      <c r="O60" s="31"/>
      <c r="P60" s="31"/>
      <c r="Q60" s="31">
        <v>482.49520000000001</v>
      </c>
      <c r="R60" s="31">
        <v>560.53740000000005</v>
      </c>
      <c r="S60" s="31">
        <v>642.37619999999993</v>
      </c>
      <c r="T60" s="31"/>
      <c r="U60" s="31"/>
      <c r="V60" s="31">
        <f t="shared" si="9"/>
        <v>18186.560515358804</v>
      </c>
      <c r="W60" s="31">
        <f t="shared" si="10"/>
        <v>19618.157865742727</v>
      </c>
      <c r="X60" s="31">
        <f t="shared" si="11"/>
        <v>21998.164417688022</v>
      </c>
      <c r="Y60" s="31"/>
      <c r="Z60" s="31"/>
      <c r="AA60" s="2">
        <v>0.70800003</v>
      </c>
      <c r="AB60" s="2">
        <v>0.33</v>
      </c>
      <c r="AC60" s="2">
        <v>0.33</v>
      </c>
      <c r="AD60">
        <f t="shared" si="12"/>
        <v>6473.9920956951</v>
      </c>
      <c r="AE60" s="84">
        <f t="shared" si="13"/>
        <v>14738.770159850974</v>
      </c>
      <c r="AF60" s="2">
        <f t="shared" si="14"/>
        <v>10606.381127773036</v>
      </c>
    </row>
    <row r="61" spans="2:32" hidden="1" x14ac:dyDescent="0.25">
      <c r="B61" s="32" t="s">
        <v>96</v>
      </c>
      <c r="C61" s="21" t="s">
        <v>510</v>
      </c>
      <c r="D61" s="21" t="s">
        <v>353</v>
      </c>
      <c r="E61" s="21"/>
      <c r="F61" s="20">
        <v>232</v>
      </c>
      <c r="G61" s="31">
        <v>38.073</v>
      </c>
      <c r="H61" s="31">
        <v>38.531999999999996</v>
      </c>
      <c r="I61" s="31">
        <v>37.283000000000001</v>
      </c>
      <c r="J61" s="31">
        <v>34.4</v>
      </c>
      <c r="K61" s="31">
        <v>30.5</v>
      </c>
      <c r="L61" s="31">
        <v>92.739900000000006</v>
      </c>
      <c r="M61" s="31">
        <v>93.825900000000004</v>
      </c>
      <c r="N61" s="31">
        <v>94.573899999999995</v>
      </c>
      <c r="O61" s="31">
        <f>100-4.75</f>
        <v>95.25</v>
      </c>
      <c r="P61" s="31">
        <f>100-4.21</f>
        <v>95.79</v>
      </c>
      <c r="Q61" s="31">
        <v>3347.5333999999998</v>
      </c>
      <c r="R61" s="31">
        <v>3972.6672000000003</v>
      </c>
      <c r="S61" s="31">
        <v>4777.0797999999995</v>
      </c>
      <c r="T61" s="31">
        <v>6077</v>
      </c>
      <c r="U61" s="31">
        <v>6848</v>
      </c>
      <c r="V61" s="31">
        <f t="shared" si="9"/>
        <v>118197.59528612756</v>
      </c>
      <c r="W61" s="31">
        <f t="shared" si="10"/>
        <v>143623.82054872575</v>
      </c>
      <c r="X61" s="31">
        <f t="shared" si="11"/>
        <v>168439.77230042248</v>
      </c>
      <c r="Y61" s="31">
        <f>J61*T61*(O61/100)</f>
        <v>199118.98199999999</v>
      </c>
      <c r="Z61" s="31">
        <f>K61*U61*(P61/100)</f>
        <v>200070.82560000001</v>
      </c>
      <c r="AA61" s="84">
        <v>0.75199996999999996</v>
      </c>
      <c r="AB61" s="84">
        <v>0.91400002000000002</v>
      </c>
      <c r="AC61" s="84">
        <v>0.97199996999999994</v>
      </c>
      <c r="AD61">
        <f t="shared" si="12"/>
        <v>131272.17485401174</v>
      </c>
      <c r="AE61" s="84">
        <f t="shared" si="13"/>
        <v>4716.3186776050097</v>
      </c>
      <c r="AF61" s="2">
        <f t="shared" si="14"/>
        <v>67994.246765808377</v>
      </c>
    </row>
    <row r="62" spans="2:32" x14ac:dyDescent="0.25">
      <c r="B62" s="32" t="s">
        <v>192</v>
      </c>
      <c r="C62" s="21" t="s">
        <v>509</v>
      </c>
      <c r="D62" s="21" t="s">
        <v>366</v>
      </c>
      <c r="E62" s="21"/>
      <c r="F62" s="20">
        <v>233</v>
      </c>
      <c r="G62" s="31">
        <v>9.1430000000000007</v>
      </c>
      <c r="H62" s="31">
        <v>9.7729999999999997</v>
      </c>
      <c r="I62" s="31">
        <v>11.766</v>
      </c>
      <c r="J62" s="31"/>
      <c r="K62" s="31"/>
      <c r="L62" s="31">
        <v>98.979900000000001</v>
      </c>
      <c r="M62" s="31">
        <v>99.247699999999995</v>
      </c>
      <c r="N62" s="31">
        <v>99.231700000000004</v>
      </c>
      <c r="O62" s="31"/>
      <c r="P62" s="31"/>
      <c r="Q62" s="31">
        <v>1403.5699</v>
      </c>
      <c r="R62" s="31">
        <v>1358.954</v>
      </c>
      <c r="S62" s="31">
        <v>1342.4678000000001</v>
      </c>
      <c r="T62" s="31"/>
      <c r="U62" s="31"/>
      <c r="V62" s="31">
        <f t="shared" si="9"/>
        <v>12701.931798984266</v>
      </c>
      <c r="W62" s="31">
        <f t="shared" si="10"/>
        <v>13181.144046863832</v>
      </c>
      <c r="X62" s="31">
        <f t="shared" si="11"/>
        <v>15674.119491656335</v>
      </c>
      <c r="Y62" s="31"/>
      <c r="Z62" s="31"/>
      <c r="AA62" s="2">
        <v>0.87</v>
      </c>
      <c r="AB62" s="2">
        <v>0.9380000300000001</v>
      </c>
      <c r="AC62" s="2">
        <v>0.95199997000000003</v>
      </c>
      <c r="AD62">
        <f t="shared" si="12"/>
        <v>12363.913511392597</v>
      </c>
      <c r="AE62" s="84">
        <f t="shared" si="13"/>
        <v>752.35820582308838</v>
      </c>
      <c r="AF62" s="2">
        <f t="shared" si="14"/>
        <v>6558.1358586078422</v>
      </c>
    </row>
    <row r="63" spans="2:32" hidden="1" x14ac:dyDescent="0.25">
      <c r="B63" s="32" t="s">
        <v>95</v>
      </c>
      <c r="C63" s="21" t="s">
        <v>508</v>
      </c>
      <c r="D63" s="21" t="s">
        <v>353</v>
      </c>
      <c r="E63" s="21"/>
      <c r="F63" s="20">
        <v>231</v>
      </c>
      <c r="G63" s="31">
        <v>44.116999999999997</v>
      </c>
      <c r="H63" s="31">
        <v>40.563000000000002</v>
      </c>
      <c r="I63" s="31">
        <v>38.558</v>
      </c>
      <c r="J63" s="31">
        <v>30</v>
      </c>
      <c r="K63" s="31">
        <v>27.2</v>
      </c>
      <c r="L63" s="31">
        <v>89.952500000000001</v>
      </c>
      <c r="M63" s="31">
        <v>91.204899999999995</v>
      </c>
      <c r="N63" s="31">
        <v>92.098799999999997</v>
      </c>
      <c r="O63" s="31">
        <f>100-6.29</f>
        <v>93.71</v>
      </c>
      <c r="P63" s="31">
        <f>100-5.61</f>
        <v>94.39</v>
      </c>
      <c r="Q63" s="31">
        <v>60393.26</v>
      </c>
      <c r="R63" s="31">
        <v>69094.490999999995</v>
      </c>
      <c r="S63" s="31">
        <v>78694.577999999994</v>
      </c>
      <c r="T63" s="31">
        <v>92000</v>
      </c>
      <c r="U63" s="31">
        <v>101046</v>
      </c>
      <c r="V63" s="31">
        <f t="shared" si="9"/>
        <v>2396666.9307885752</v>
      </c>
      <c r="W63" s="31">
        <f t="shared" si="10"/>
        <v>2556181.343962979</v>
      </c>
      <c r="X63" s="31">
        <f t="shared" si="11"/>
        <v>2794558.9893141417</v>
      </c>
      <c r="Y63" s="31">
        <f>J63*T63*(O63/100)</f>
        <v>2586396</v>
      </c>
      <c r="Z63" s="31">
        <f>K63*U63*(P63/100)</f>
        <v>2594263.0876799994</v>
      </c>
      <c r="AA63" s="84">
        <v>0.54400002000000003</v>
      </c>
      <c r="AB63" s="84">
        <v>0.60799999000000005</v>
      </c>
      <c r="AC63" s="84">
        <v>0.74800003000000004</v>
      </c>
      <c r="AD63">
        <f t="shared" si="12"/>
        <v>1554158.231567678</v>
      </c>
      <c r="AE63" s="84">
        <f t="shared" si="13"/>
        <v>704228.78147039388</v>
      </c>
      <c r="AF63" s="2">
        <f t="shared" si="14"/>
        <v>1129193.5065190359</v>
      </c>
    </row>
    <row r="64" spans="2:32" hidden="1" x14ac:dyDescent="0.25">
      <c r="B64" s="32" t="s">
        <v>191</v>
      </c>
      <c r="C64" s="21" t="s">
        <v>507</v>
      </c>
      <c r="D64" s="21" t="s">
        <v>356</v>
      </c>
      <c r="E64" s="21"/>
      <c r="F64" s="20">
        <v>242</v>
      </c>
      <c r="G64" s="31">
        <v>25.523</v>
      </c>
      <c r="H64" s="31">
        <v>23.146000000000001</v>
      </c>
      <c r="I64" s="31">
        <v>21.11</v>
      </c>
      <c r="J64" s="31"/>
      <c r="K64" s="31"/>
      <c r="L64" s="31">
        <v>97.56</v>
      </c>
      <c r="M64" s="31">
        <v>97.840299999999999</v>
      </c>
      <c r="N64" s="31">
        <v>98.045299999999997</v>
      </c>
      <c r="O64" s="31"/>
      <c r="P64" s="31"/>
      <c r="Q64" s="31">
        <v>782.50199999999995</v>
      </c>
      <c r="R64" s="31">
        <v>812.4688000000001</v>
      </c>
      <c r="S64" s="31">
        <v>838.66780000000006</v>
      </c>
      <c r="T64" s="31"/>
      <c r="U64" s="31"/>
      <c r="V64" s="31">
        <f t="shared" si="9"/>
        <v>19484.4866614776</v>
      </c>
      <c r="W64" s="31">
        <f t="shared" si="10"/>
        <v>18399.262559560855</v>
      </c>
      <c r="X64" s="31">
        <f t="shared" si="11"/>
        <v>17358.211750437877</v>
      </c>
      <c r="Y64" s="31"/>
      <c r="Z64" s="31"/>
      <c r="AA64" s="2">
        <v>0.91199996999999999</v>
      </c>
      <c r="AB64" s="2">
        <v>0.92599998000000006</v>
      </c>
      <c r="AC64" s="2">
        <v>0.98199996999999994</v>
      </c>
      <c r="AD64">
        <f t="shared" si="12"/>
        <v>17037.7167621681</v>
      </c>
      <c r="AE64" s="84">
        <f t="shared" si="13"/>
        <v>312.44833225423525</v>
      </c>
      <c r="AF64" s="2">
        <f t="shared" si="14"/>
        <v>8675.0825472111683</v>
      </c>
    </row>
    <row r="65" spans="2:32" x14ac:dyDescent="0.25">
      <c r="B65" s="32" t="s">
        <v>190</v>
      </c>
      <c r="C65" s="21" t="s">
        <v>506</v>
      </c>
      <c r="D65" s="21" t="s">
        <v>366</v>
      </c>
      <c r="E65" s="21">
        <v>10</v>
      </c>
      <c r="F65" s="20">
        <v>246</v>
      </c>
      <c r="G65" s="31">
        <v>11.497</v>
      </c>
      <c r="H65" s="31">
        <v>10.962</v>
      </c>
      <c r="I65" s="31">
        <v>11.127000000000001</v>
      </c>
      <c r="J65" s="31"/>
      <c r="K65" s="31"/>
      <c r="L65" s="31">
        <v>99.614199999999997</v>
      </c>
      <c r="M65" s="31">
        <v>99.672300000000007</v>
      </c>
      <c r="N65" s="31">
        <v>99.678200000000004</v>
      </c>
      <c r="O65" s="31"/>
      <c r="P65" s="31"/>
      <c r="Q65" s="31">
        <v>5138.2563</v>
      </c>
      <c r="R65" s="31">
        <v>5201.1858000000002</v>
      </c>
      <c r="S65" s="31">
        <v>5290.5763999999999</v>
      </c>
      <c r="T65" s="31"/>
      <c r="U65" s="31"/>
      <c r="V65" s="31">
        <f t="shared" si="9"/>
        <v>58846.623134016314</v>
      </c>
      <c r="W65" s="31">
        <f t="shared" si="10"/>
        <v>56828.559277930333</v>
      </c>
      <c r="X65" s="31">
        <f t="shared" si="11"/>
        <v>58678.805594886195</v>
      </c>
      <c r="Y65" s="31"/>
      <c r="Z65" s="31"/>
      <c r="AA65" s="2">
        <v>0.99</v>
      </c>
      <c r="AB65" s="2">
        <v>0.98400001999999998</v>
      </c>
      <c r="AC65" s="2">
        <v>0.98199996999999994</v>
      </c>
      <c r="AD65">
        <f t="shared" si="12"/>
        <v>55919.303466054633</v>
      </c>
      <c r="AE65" s="84">
        <f t="shared" si="13"/>
        <v>1056.2202610721226</v>
      </c>
      <c r="AF65" s="2">
        <f t="shared" si="14"/>
        <v>28487.761863563377</v>
      </c>
    </row>
    <row r="66" spans="2:32" x14ac:dyDescent="0.25">
      <c r="B66" s="32" t="s">
        <v>189</v>
      </c>
      <c r="C66" s="21" t="s">
        <v>505</v>
      </c>
      <c r="D66" s="21" t="s">
        <v>366</v>
      </c>
      <c r="E66" s="21"/>
      <c r="F66" s="20">
        <v>250</v>
      </c>
      <c r="G66" s="31">
        <v>12.653</v>
      </c>
      <c r="H66" s="31">
        <v>12.858000000000001</v>
      </c>
      <c r="I66" s="31">
        <v>12.21</v>
      </c>
      <c r="J66" s="31"/>
      <c r="K66" s="31"/>
      <c r="L66" s="31">
        <v>99.526600000000002</v>
      </c>
      <c r="M66" s="31">
        <v>99.5822</v>
      </c>
      <c r="N66" s="31">
        <v>99.609499999999997</v>
      </c>
      <c r="O66" s="31"/>
      <c r="P66" s="31"/>
      <c r="Q66" s="31">
        <v>58219.703000000001</v>
      </c>
      <c r="R66" s="31">
        <v>59672.502999999997</v>
      </c>
      <c r="S66" s="31">
        <v>61811.591</v>
      </c>
      <c r="T66" s="31"/>
      <c r="U66" s="31"/>
      <c r="V66" s="31">
        <f t="shared" si="9"/>
        <v>733166.58248665289</v>
      </c>
      <c r="W66" s="31">
        <f t="shared" si="10"/>
        <v>764063.39350994781</v>
      </c>
      <c r="X66" s="31">
        <f t="shared" si="11"/>
        <v>751772.34636054048</v>
      </c>
      <c r="Y66" s="31"/>
      <c r="Z66" s="31"/>
      <c r="AA66" s="2">
        <v>0.96599997999999998</v>
      </c>
      <c r="AB66" s="2">
        <v>0.97400002000000008</v>
      </c>
      <c r="AC66" s="2">
        <v>0.98199996999999994</v>
      </c>
      <c r="AD66">
        <f t="shared" si="12"/>
        <v>744197.76055995713</v>
      </c>
      <c r="AE66" s="84">
        <f t="shared" si="13"/>
        <v>13531.924787660162</v>
      </c>
      <c r="AF66" s="2">
        <f t="shared" si="14"/>
        <v>378864.84267380863</v>
      </c>
    </row>
    <row r="67" spans="2:32" hidden="1" x14ac:dyDescent="0.25">
      <c r="B67" s="32" t="s">
        <v>504</v>
      </c>
      <c r="C67" s="18" t="s">
        <v>503</v>
      </c>
      <c r="D67" s="21"/>
      <c r="E67" s="21"/>
      <c r="F67" s="20">
        <v>254</v>
      </c>
      <c r="G67" s="31">
        <v>30</v>
      </c>
      <c r="H67" s="31">
        <v>28.094000000000001</v>
      </c>
      <c r="I67" s="31">
        <v>25.228999999999999</v>
      </c>
      <c r="J67" s="31">
        <v>24</v>
      </c>
      <c r="K67" s="31">
        <v>23.4</v>
      </c>
      <c r="L67" s="31">
        <v>98.363600000000005</v>
      </c>
      <c r="M67" s="31">
        <v>98.519199999999998</v>
      </c>
      <c r="N67" s="31">
        <v>98.663499999999999</v>
      </c>
      <c r="O67" s="31">
        <f>100-1.27</f>
        <v>98.73</v>
      </c>
      <c r="P67" s="31">
        <f>100-1.16</f>
        <v>98.84</v>
      </c>
      <c r="Q67" s="31"/>
      <c r="R67" s="31"/>
      <c r="S67" s="31"/>
      <c r="T67" s="31"/>
      <c r="U67" s="31"/>
      <c r="V67" s="31">
        <f t="shared" si="9"/>
        <v>0</v>
      </c>
      <c r="W67" s="31">
        <f t="shared" si="10"/>
        <v>0</v>
      </c>
      <c r="X67" s="31">
        <f t="shared" si="11"/>
        <v>0</v>
      </c>
      <c r="Y67" s="31">
        <f>J67*T67*(O67/100)</f>
        <v>0</v>
      </c>
      <c r="Z67" s="31">
        <f>K67*U67*(P67/100)</f>
        <v>0</v>
      </c>
      <c r="AA67" s="84">
        <v>0</v>
      </c>
      <c r="AB67" s="84">
        <v>0</v>
      </c>
      <c r="AC67" s="84">
        <v>0</v>
      </c>
      <c r="AD67">
        <f t="shared" si="12"/>
        <v>0</v>
      </c>
      <c r="AE67" s="84">
        <f t="shared" si="13"/>
        <v>0</v>
      </c>
      <c r="AF67" s="2">
        <f t="shared" si="14"/>
        <v>0</v>
      </c>
    </row>
    <row r="68" spans="2:32" hidden="1" x14ac:dyDescent="0.25">
      <c r="B68" s="32" t="s">
        <v>502</v>
      </c>
      <c r="C68" s="21" t="s">
        <v>501</v>
      </c>
      <c r="D68" s="21"/>
      <c r="E68" s="21"/>
      <c r="F68" s="20">
        <v>258</v>
      </c>
      <c r="G68" s="31">
        <v>21.372</v>
      </c>
      <c r="H68" s="31">
        <v>19.167000000000002</v>
      </c>
      <c r="I68" s="31">
        <v>18.074999999999999</v>
      </c>
      <c r="J68" s="31">
        <v>16.399999999999999</v>
      </c>
      <c r="K68" s="31">
        <v>15.2</v>
      </c>
      <c r="L68" s="31">
        <v>98.962500000000006</v>
      </c>
      <c r="M68" s="31">
        <v>99.125200000000007</v>
      </c>
      <c r="N68" s="31">
        <v>99.210400000000007</v>
      </c>
      <c r="O68" s="31"/>
      <c r="P68" s="31"/>
      <c r="Q68" s="31"/>
      <c r="R68" s="31"/>
      <c r="S68" s="31"/>
      <c r="T68" s="31"/>
      <c r="U68" s="31"/>
      <c r="V68" s="31">
        <f t="shared" si="9"/>
        <v>0</v>
      </c>
      <c r="W68" s="31">
        <f t="shared" si="10"/>
        <v>0</v>
      </c>
      <c r="X68" s="31">
        <f t="shared" si="11"/>
        <v>0</v>
      </c>
      <c r="Y68" s="31">
        <f>J68*T68*(O68/100)</f>
        <v>0</v>
      </c>
      <c r="Z68" s="31">
        <f>K68*U68*(P68/100)</f>
        <v>0</v>
      </c>
      <c r="AA68" s="84">
        <v>0</v>
      </c>
      <c r="AB68" s="84">
        <v>0</v>
      </c>
      <c r="AC68" s="84">
        <v>0</v>
      </c>
      <c r="AD68">
        <f t="shared" si="12"/>
        <v>0</v>
      </c>
      <c r="AE68" s="84">
        <f t="shared" si="13"/>
        <v>0</v>
      </c>
      <c r="AF68" s="2">
        <f t="shared" si="14"/>
        <v>0</v>
      </c>
    </row>
    <row r="69" spans="2:32" hidden="1" x14ac:dyDescent="0.25">
      <c r="B69" s="32" t="s">
        <v>188</v>
      </c>
      <c r="C69" s="21" t="s">
        <v>500</v>
      </c>
      <c r="D69" s="21" t="s">
        <v>361</v>
      </c>
      <c r="E69" s="21"/>
      <c r="F69" s="20">
        <v>266</v>
      </c>
      <c r="G69" s="31">
        <v>33.335999999999999</v>
      </c>
      <c r="H69" s="31">
        <v>29.861000000000001</v>
      </c>
      <c r="I69" s="31">
        <v>27.483000000000001</v>
      </c>
      <c r="J69" s="31"/>
      <c r="K69" s="31"/>
      <c r="L69" s="31">
        <v>94.314400000000006</v>
      </c>
      <c r="M69" s="31">
        <v>94.180599999999998</v>
      </c>
      <c r="N69" s="31">
        <v>94.888099999999994</v>
      </c>
      <c r="O69" s="31"/>
      <c r="P69" s="31"/>
      <c r="Q69" s="31">
        <v>1145.23</v>
      </c>
      <c r="R69" s="31">
        <v>1288.5119999999999</v>
      </c>
      <c r="S69" s="31">
        <v>1421.8938000000001</v>
      </c>
      <c r="T69" s="31"/>
      <c r="U69" s="31"/>
      <c r="V69" s="31">
        <f t="shared" ref="V69:V100" si="16">+Q69*G69*L69/100</f>
        <v>36006.773748808315</v>
      </c>
      <c r="W69" s="31">
        <f t="shared" ref="W69:W100" si="17">+R69*H69*M69/100</f>
        <v>36237.169541918585</v>
      </c>
      <c r="X69" s="31">
        <f t="shared" ref="X69:X100" si="18">+S69*I69*N69/100</f>
        <v>37080.283761855258</v>
      </c>
      <c r="Y69" s="31"/>
      <c r="Z69" s="31"/>
      <c r="AA69" s="2">
        <v>0.56200000999999999</v>
      </c>
      <c r="AB69" s="2">
        <v>0.45</v>
      </c>
      <c r="AC69" s="2">
        <v>0.45</v>
      </c>
      <c r="AD69">
        <f t="shared" ref="AD69:AD100" si="19">W69*AB69</f>
        <v>16306.726293863363</v>
      </c>
      <c r="AE69" s="84">
        <f t="shared" ref="AE69:AE100" si="20">X69*(1-AC69)</f>
        <v>20394.156069020395</v>
      </c>
      <c r="AF69" s="2">
        <f t="shared" ref="AF69:AF100" si="21">AVERAGE(AD69:AE69)</f>
        <v>18350.441181441878</v>
      </c>
    </row>
    <row r="70" spans="2:32" hidden="1" x14ac:dyDescent="0.25">
      <c r="B70" s="32" t="s">
        <v>187</v>
      </c>
      <c r="C70" s="21" t="s">
        <v>499</v>
      </c>
      <c r="D70" s="21" t="s">
        <v>353</v>
      </c>
      <c r="E70" s="21"/>
      <c r="F70" s="20">
        <v>270</v>
      </c>
      <c r="G70" s="31">
        <v>42.238999999999997</v>
      </c>
      <c r="H70" s="31">
        <v>39.676000000000002</v>
      </c>
      <c r="I70" s="31">
        <v>36.993000000000002</v>
      </c>
      <c r="J70" s="31">
        <v>36.9</v>
      </c>
      <c r="K70" s="31">
        <v>34.5</v>
      </c>
      <c r="L70" s="31">
        <v>90.515900000000002</v>
      </c>
      <c r="M70" s="31">
        <v>91.483000000000004</v>
      </c>
      <c r="N70" s="31">
        <v>92.351500000000001</v>
      </c>
      <c r="O70" s="31">
        <f>100-6.64</f>
        <v>93.36</v>
      </c>
      <c r="P70" s="31">
        <f>100-6.01</f>
        <v>93.99</v>
      </c>
      <c r="Q70" s="31">
        <v>1170.2139999999999</v>
      </c>
      <c r="R70" s="31">
        <v>1391.4541999999999</v>
      </c>
      <c r="S70" s="31">
        <v>1615.5886</v>
      </c>
      <c r="T70" s="31">
        <v>1976</v>
      </c>
      <c r="U70" s="31">
        <v>2242</v>
      </c>
      <c r="V70" s="31">
        <f t="shared" si="16"/>
        <v>44740.804735524209</v>
      </c>
      <c r="W70" s="31">
        <f t="shared" si="17"/>
        <v>50505.327960605333</v>
      </c>
      <c r="X70" s="31">
        <f t="shared" si="18"/>
        <v>55194.307177231509</v>
      </c>
      <c r="Y70" s="31">
        <f>J70*T70*(O70/100)</f>
        <v>68072.883839999995</v>
      </c>
      <c r="Z70" s="31">
        <f>K70*U70*(P70/100)</f>
        <v>72700.325100000002</v>
      </c>
      <c r="AA70" s="84">
        <v>0.94599997999999996</v>
      </c>
      <c r="AB70" s="84">
        <v>0.90400002000000002</v>
      </c>
      <c r="AC70" s="84">
        <v>0.94000000000000006</v>
      </c>
      <c r="AD70">
        <f t="shared" si="19"/>
        <v>45656.817486493783</v>
      </c>
      <c r="AE70" s="84">
        <f t="shared" si="20"/>
        <v>3311.6584306338873</v>
      </c>
      <c r="AF70" s="2">
        <f t="shared" si="21"/>
        <v>24484.237958563834</v>
      </c>
    </row>
    <row r="71" spans="2:32" hidden="1" x14ac:dyDescent="0.25">
      <c r="B71" s="32" t="s">
        <v>48</v>
      </c>
      <c r="C71" s="21" t="s">
        <v>498</v>
      </c>
      <c r="D71" s="21" t="s">
        <v>356</v>
      </c>
      <c r="E71" s="21"/>
      <c r="F71" s="20">
        <v>268</v>
      </c>
      <c r="G71" s="31">
        <v>12.715</v>
      </c>
      <c r="H71" s="31">
        <v>11.927</v>
      </c>
      <c r="I71" s="31">
        <v>12.116</v>
      </c>
      <c r="J71" s="31">
        <v>11.5</v>
      </c>
      <c r="K71" s="31">
        <v>10.4</v>
      </c>
      <c r="L71" s="31">
        <v>96.275300000000001</v>
      </c>
      <c r="M71" s="31">
        <v>96.549199999999999</v>
      </c>
      <c r="N71" s="31">
        <v>96.549199999999999</v>
      </c>
      <c r="O71" s="31">
        <f>100-2.56</f>
        <v>97.44</v>
      </c>
      <c r="P71" s="31">
        <f>100-2.31</f>
        <v>97.69</v>
      </c>
      <c r="Q71" s="31">
        <v>4930.0934000000007</v>
      </c>
      <c r="R71" s="31">
        <v>4630.2370000000001</v>
      </c>
      <c r="S71" s="31">
        <v>4360.1207999999997</v>
      </c>
      <c r="T71" s="31">
        <v>4225</v>
      </c>
      <c r="U71" s="31">
        <v>4080</v>
      </c>
      <c r="V71" s="31">
        <f t="shared" si="16"/>
        <v>60351.267014520505</v>
      </c>
      <c r="W71" s="31">
        <f t="shared" si="17"/>
        <v>53319.13803419091</v>
      </c>
      <c r="X71" s="31">
        <f t="shared" si="18"/>
        <v>51004.261780369488</v>
      </c>
      <c r="Y71" s="31">
        <f>J71*T71*(O71/100)</f>
        <v>47343.659999999996</v>
      </c>
      <c r="Z71" s="31">
        <f>K71*U71*(P71/100)</f>
        <v>41451.820800000001</v>
      </c>
      <c r="AA71" s="84">
        <v>0.79800003000000008</v>
      </c>
      <c r="AB71" s="84">
        <v>0.81</v>
      </c>
      <c r="AC71" s="84">
        <v>0.89800003000000006</v>
      </c>
      <c r="AD71">
        <f t="shared" si="19"/>
        <v>43188.501807694636</v>
      </c>
      <c r="AE71" s="84">
        <f t="shared" si="20"/>
        <v>5202.433171469831</v>
      </c>
      <c r="AF71" s="2">
        <f t="shared" si="21"/>
        <v>24195.467489582232</v>
      </c>
    </row>
    <row r="72" spans="2:32" x14ac:dyDescent="0.25">
      <c r="B72" s="32" t="s">
        <v>186</v>
      </c>
      <c r="C72" s="21" t="s">
        <v>497</v>
      </c>
      <c r="D72" s="21" t="s">
        <v>366</v>
      </c>
      <c r="E72" s="21"/>
      <c r="F72" s="20">
        <v>276</v>
      </c>
      <c r="G72" s="31">
        <v>9.5030000000000001</v>
      </c>
      <c r="H72" s="31">
        <v>8.8149999999999995</v>
      </c>
      <c r="I72" s="31">
        <v>8.1359999999999992</v>
      </c>
      <c r="J72" s="31"/>
      <c r="K72" s="31"/>
      <c r="L72" s="31">
        <v>99.516000000000005</v>
      </c>
      <c r="M72" s="31">
        <v>99.568799999999996</v>
      </c>
      <c r="N72" s="31">
        <v>99.590199999999996</v>
      </c>
      <c r="O72" s="31"/>
      <c r="P72" s="31"/>
      <c r="Q72" s="31">
        <v>81951.8</v>
      </c>
      <c r="R72" s="31">
        <v>82421.649999999994</v>
      </c>
      <c r="S72" s="31">
        <v>82220.459000000003</v>
      </c>
      <c r="T72" s="31"/>
      <c r="U72" s="31"/>
      <c r="V72" s="31">
        <f t="shared" si="16"/>
        <v>775018.62169586425</v>
      </c>
      <c r="W72" s="31">
        <f t="shared" si="17"/>
        <v>723413.97475543793</v>
      </c>
      <c r="X72" s="31">
        <f t="shared" si="18"/>
        <v>666204.31513217045</v>
      </c>
      <c r="Y72" s="31"/>
      <c r="Z72" s="31"/>
      <c r="AA72" s="2">
        <v>0.87</v>
      </c>
      <c r="AB72" s="2">
        <v>0.92400002000000003</v>
      </c>
      <c r="AC72" s="2">
        <v>0.93</v>
      </c>
      <c r="AD72">
        <f t="shared" si="19"/>
        <v>668434.52714230411</v>
      </c>
      <c r="AE72" s="84">
        <f t="shared" si="20"/>
        <v>46634.302059251902</v>
      </c>
      <c r="AF72" s="2">
        <f t="shared" si="21"/>
        <v>357534.41460077802</v>
      </c>
    </row>
    <row r="73" spans="2:32" hidden="1" x14ac:dyDescent="0.25">
      <c r="B73" s="32" t="s">
        <v>93</v>
      </c>
      <c r="C73" s="21" t="s">
        <v>496</v>
      </c>
      <c r="D73" s="21" t="s">
        <v>356</v>
      </c>
      <c r="E73" s="21"/>
      <c r="F73" s="20">
        <v>288</v>
      </c>
      <c r="G73" s="31">
        <v>35.402999999999999</v>
      </c>
      <c r="H73" s="31">
        <v>33.695</v>
      </c>
      <c r="I73" s="31">
        <v>32.506999999999998</v>
      </c>
      <c r="J73" s="31">
        <v>30.3</v>
      </c>
      <c r="K73" s="31">
        <v>28.1</v>
      </c>
      <c r="L73" s="31">
        <v>93.149100000000004</v>
      </c>
      <c r="M73" s="31">
        <v>92.965000000000003</v>
      </c>
      <c r="N73" s="31">
        <v>92.664100000000005</v>
      </c>
      <c r="O73" s="31">
        <f>100-4.39</f>
        <v>95.61</v>
      </c>
      <c r="P73" s="31">
        <f>100-3.99</f>
        <v>96.01</v>
      </c>
      <c r="Q73" s="31">
        <v>18156.451000000001</v>
      </c>
      <c r="R73" s="31">
        <v>20478.647000000001</v>
      </c>
      <c r="S73" s="31">
        <v>22873.531999999999</v>
      </c>
      <c r="T73" s="31">
        <v>27315</v>
      </c>
      <c r="U73" s="31">
        <v>30325</v>
      </c>
      <c r="V73" s="31">
        <f t="shared" si="16"/>
        <v>598755.74043690681</v>
      </c>
      <c r="W73" s="31">
        <f t="shared" si="17"/>
        <v>641484.54011471733</v>
      </c>
      <c r="X73" s="31">
        <f t="shared" si="18"/>
        <v>689003.827263352</v>
      </c>
      <c r="Y73" s="31">
        <f>J73*T73*(O73/100)</f>
        <v>791310.90645000001</v>
      </c>
      <c r="Z73" s="31">
        <f>K73*U73*(P73/100)</f>
        <v>818132.4132500001</v>
      </c>
      <c r="AA73" s="84">
        <v>0.73599998</v>
      </c>
      <c r="AB73" s="84">
        <v>0.82000000000000006</v>
      </c>
      <c r="AC73" s="84">
        <v>0.88599998000000002</v>
      </c>
      <c r="AD73">
        <f t="shared" si="19"/>
        <v>526017.3228940682</v>
      </c>
      <c r="AE73" s="84">
        <f t="shared" si="20"/>
        <v>78546.45008809866</v>
      </c>
      <c r="AF73" s="2">
        <f t="shared" si="21"/>
        <v>302281.88649108342</v>
      </c>
    </row>
    <row r="74" spans="2:32" x14ac:dyDescent="0.25">
      <c r="B74" s="32" t="s">
        <v>185</v>
      </c>
      <c r="C74" s="21" t="s">
        <v>495</v>
      </c>
      <c r="D74" s="21" t="s">
        <v>366</v>
      </c>
      <c r="E74" s="21"/>
      <c r="F74" s="20">
        <v>300</v>
      </c>
      <c r="G74" s="31">
        <v>9.673</v>
      </c>
      <c r="H74" s="31">
        <v>9.4350000000000005</v>
      </c>
      <c r="I74" s="31">
        <v>9.65</v>
      </c>
      <c r="J74" s="31"/>
      <c r="K74" s="31"/>
      <c r="L74" s="31">
        <v>99.352000000000004</v>
      </c>
      <c r="M74" s="31">
        <v>99.595699999999994</v>
      </c>
      <c r="N74" s="31">
        <v>99.615200000000002</v>
      </c>
      <c r="O74" s="31"/>
      <c r="P74" s="31"/>
      <c r="Q74" s="31">
        <v>10767.6</v>
      </c>
      <c r="R74" s="31">
        <v>10988.06</v>
      </c>
      <c r="S74" s="31">
        <v>11193.121999999999</v>
      </c>
      <c r="T74" s="31"/>
      <c r="U74" s="31"/>
      <c r="V74" s="31">
        <f t="shared" si="16"/>
        <v>103480.070433696</v>
      </c>
      <c r="W74" s="31">
        <f t="shared" si="17"/>
        <v>103253.1988047177</v>
      </c>
      <c r="X74" s="31">
        <f t="shared" si="18"/>
        <v>107597.9908621496</v>
      </c>
      <c r="Y74" s="31"/>
      <c r="Z74" s="31"/>
      <c r="AA74" s="2">
        <v>0.89400002000000001</v>
      </c>
      <c r="AB74" s="2">
        <v>0.92199997</v>
      </c>
      <c r="AC74" s="2">
        <v>0.98199996999999994</v>
      </c>
      <c r="AD74">
        <f t="shared" si="19"/>
        <v>95199.446200353763</v>
      </c>
      <c r="AE74" s="84">
        <f t="shared" si="20"/>
        <v>1936.7670634584247</v>
      </c>
      <c r="AF74" s="2">
        <f t="shared" si="21"/>
        <v>48568.106631906092</v>
      </c>
    </row>
    <row r="75" spans="2:32" hidden="1" x14ac:dyDescent="0.25">
      <c r="B75" s="32" t="s">
        <v>184</v>
      </c>
      <c r="C75" s="21" t="s">
        <v>494</v>
      </c>
      <c r="D75" s="21" t="s">
        <v>361</v>
      </c>
      <c r="E75" s="21"/>
      <c r="F75" s="20">
        <v>308</v>
      </c>
      <c r="G75" s="31">
        <v>20.716000000000001</v>
      </c>
      <c r="H75" s="31">
        <v>18.89</v>
      </c>
      <c r="I75" s="31">
        <v>19.411999999999999</v>
      </c>
      <c r="J75" s="31"/>
      <c r="K75" s="31"/>
      <c r="L75" s="31">
        <v>97.980800000000002</v>
      </c>
      <c r="M75" s="31">
        <v>98.4542</v>
      </c>
      <c r="N75" s="31">
        <v>98.660499999999999</v>
      </c>
      <c r="O75" s="31"/>
      <c r="P75" s="31"/>
      <c r="Q75" s="31">
        <v>100.77</v>
      </c>
      <c r="R75" s="31">
        <v>101.6682</v>
      </c>
      <c r="S75" s="31">
        <v>103.19199999999999</v>
      </c>
      <c r="T75" s="31"/>
      <c r="U75" s="31"/>
      <c r="V75" s="31">
        <f t="shared" si="16"/>
        <v>2045.39948374656</v>
      </c>
      <c r="W75" s="31">
        <f t="shared" si="17"/>
        <v>1890.8250188975162</v>
      </c>
      <c r="X75" s="31">
        <f t="shared" si="18"/>
        <v>1976.3307342219198</v>
      </c>
      <c r="Y75" s="31"/>
      <c r="Z75" s="31"/>
      <c r="AA75" s="2">
        <v>0.91</v>
      </c>
      <c r="AB75" s="2">
        <v>0.94199997000000002</v>
      </c>
      <c r="AC75" s="2">
        <v>0.96800003000000001</v>
      </c>
      <c r="AD75">
        <f t="shared" si="19"/>
        <v>1781.1571110767097</v>
      </c>
      <c r="AE75" s="84">
        <f t="shared" si="20"/>
        <v>63.242524205179386</v>
      </c>
      <c r="AF75" s="2">
        <f t="shared" si="21"/>
        <v>922.1998176409445</v>
      </c>
    </row>
    <row r="76" spans="2:32" hidden="1" x14ac:dyDescent="0.25">
      <c r="B76" s="32" t="s">
        <v>493</v>
      </c>
      <c r="C76" s="21" t="s">
        <v>492</v>
      </c>
      <c r="D76" s="21"/>
      <c r="E76" s="21"/>
      <c r="F76" s="20">
        <v>312</v>
      </c>
      <c r="G76" s="31">
        <v>17.41</v>
      </c>
      <c r="H76" s="31">
        <v>15.648999999999999</v>
      </c>
      <c r="I76" s="31">
        <v>14.452</v>
      </c>
      <c r="J76" s="31">
        <v>13.2</v>
      </c>
      <c r="K76" s="31">
        <v>12.6</v>
      </c>
      <c r="L76" s="31">
        <v>99.1708</v>
      </c>
      <c r="M76" s="31">
        <v>99.270099999999999</v>
      </c>
      <c r="N76" s="31">
        <v>99.324399999999997</v>
      </c>
      <c r="O76" s="31"/>
      <c r="P76" s="31"/>
      <c r="Q76" s="31"/>
      <c r="R76" s="31"/>
      <c r="S76" s="31"/>
      <c r="T76" s="31"/>
      <c r="U76" s="31"/>
      <c r="V76" s="31">
        <f t="shared" si="16"/>
        <v>0</v>
      </c>
      <c r="W76" s="31">
        <f t="shared" si="17"/>
        <v>0</v>
      </c>
      <c r="X76" s="31">
        <f t="shared" si="18"/>
        <v>0</v>
      </c>
      <c r="Y76" s="31">
        <f t="shared" ref="Y76:Z83" si="22">J76*T76*(O76/100)</f>
        <v>0</v>
      </c>
      <c r="Z76" s="31">
        <f t="shared" si="22"/>
        <v>0</v>
      </c>
      <c r="AA76" s="84">
        <v>0</v>
      </c>
      <c r="AB76" s="84">
        <v>0</v>
      </c>
      <c r="AC76" s="84">
        <v>0</v>
      </c>
      <c r="AD76">
        <f t="shared" si="19"/>
        <v>0</v>
      </c>
      <c r="AE76" s="84">
        <f t="shared" si="20"/>
        <v>0</v>
      </c>
      <c r="AF76" s="2">
        <f t="shared" si="21"/>
        <v>0</v>
      </c>
    </row>
    <row r="77" spans="2:32" hidden="1" x14ac:dyDescent="0.25">
      <c r="B77" s="32" t="s">
        <v>491</v>
      </c>
      <c r="C77" s="21" t="s">
        <v>490</v>
      </c>
      <c r="D77" s="21"/>
      <c r="E77" s="21"/>
      <c r="F77" s="20">
        <v>316</v>
      </c>
      <c r="G77" s="31">
        <v>23.898</v>
      </c>
      <c r="H77" s="31">
        <v>20.661999999999999</v>
      </c>
      <c r="I77" s="31">
        <v>18.459</v>
      </c>
      <c r="J77" s="31">
        <v>17.600000000000001</v>
      </c>
      <c r="K77" s="31">
        <v>17</v>
      </c>
      <c r="L77" s="31">
        <v>98.868200000000002</v>
      </c>
      <c r="M77" s="31">
        <v>98.994299999999996</v>
      </c>
      <c r="N77" s="31">
        <v>99.095699999999994</v>
      </c>
      <c r="O77" s="31"/>
      <c r="P77" s="31"/>
      <c r="Q77" s="31"/>
      <c r="R77" s="31"/>
      <c r="S77" s="31"/>
      <c r="T77" s="31"/>
      <c r="U77" s="31"/>
      <c r="V77" s="31">
        <f t="shared" si="16"/>
        <v>0</v>
      </c>
      <c r="W77" s="31">
        <f t="shared" si="17"/>
        <v>0</v>
      </c>
      <c r="X77" s="31">
        <f t="shared" si="18"/>
        <v>0</v>
      </c>
      <c r="Y77" s="31">
        <f t="shared" si="22"/>
        <v>0</v>
      </c>
      <c r="Z77" s="31">
        <f t="shared" si="22"/>
        <v>0</v>
      </c>
      <c r="AA77" s="84">
        <v>0</v>
      </c>
      <c r="AB77" s="84">
        <v>0</v>
      </c>
      <c r="AC77" s="84">
        <v>0</v>
      </c>
      <c r="AD77">
        <f t="shared" si="19"/>
        <v>0</v>
      </c>
      <c r="AE77" s="84">
        <f t="shared" si="20"/>
        <v>0</v>
      </c>
      <c r="AF77" s="2">
        <f t="shared" si="21"/>
        <v>0</v>
      </c>
    </row>
    <row r="78" spans="2:32" hidden="1" x14ac:dyDescent="0.25">
      <c r="B78" s="32" t="s">
        <v>47</v>
      </c>
      <c r="C78" s="21" t="s">
        <v>489</v>
      </c>
      <c r="D78" s="21" t="s">
        <v>356</v>
      </c>
      <c r="E78" s="21"/>
      <c r="F78" s="20">
        <v>320</v>
      </c>
      <c r="G78" s="31">
        <v>37.332999999999998</v>
      </c>
      <c r="H78" s="31">
        <v>35.776000000000003</v>
      </c>
      <c r="I78" s="31">
        <v>33.25</v>
      </c>
      <c r="J78" s="31">
        <v>31.5</v>
      </c>
      <c r="K78" s="31">
        <v>29.7</v>
      </c>
      <c r="L78" s="31">
        <v>95.449100000000001</v>
      </c>
      <c r="M78" s="31">
        <v>96.137500000000003</v>
      </c>
      <c r="N78" s="31">
        <v>96.988299999999995</v>
      </c>
      <c r="O78" s="31">
        <f>100-2.63</f>
        <v>97.37</v>
      </c>
      <c r="P78" s="31">
        <f>100-2.32</f>
        <v>97.68</v>
      </c>
      <c r="Q78" s="31">
        <v>10480.451999999999</v>
      </c>
      <c r="R78" s="31">
        <v>11803.614</v>
      </c>
      <c r="S78" s="31">
        <v>13361.031999999999</v>
      </c>
      <c r="T78" s="31">
        <v>16325</v>
      </c>
      <c r="U78" s="31">
        <v>18382</v>
      </c>
      <c r="V78" s="31">
        <f t="shared" si="16"/>
        <v>373460.55760509131</v>
      </c>
      <c r="W78" s="31">
        <f t="shared" si="17"/>
        <v>405975.29406532802</v>
      </c>
      <c r="X78" s="31">
        <f t="shared" si="18"/>
        <v>430874.70682526194</v>
      </c>
      <c r="Y78" s="31">
        <f t="shared" si="22"/>
        <v>500713.05375000002</v>
      </c>
      <c r="Z78" s="31">
        <f t="shared" si="22"/>
        <v>533279.46672000014</v>
      </c>
      <c r="AA78" s="84">
        <v>0.74199996999999995</v>
      </c>
      <c r="AB78" s="84">
        <v>0.83400002000000006</v>
      </c>
      <c r="AC78" s="84">
        <v>0.91400002000000002</v>
      </c>
      <c r="AD78">
        <f t="shared" si="19"/>
        <v>338583.40336998948</v>
      </c>
      <c r="AE78" s="84">
        <f t="shared" si="20"/>
        <v>37055.216169478379</v>
      </c>
      <c r="AF78" s="2">
        <f t="shared" si="21"/>
        <v>187819.30976973393</v>
      </c>
    </row>
    <row r="79" spans="2:32" hidden="1" x14ac:dyDescent="0.25">
      <c r="B79" s="32" t="s">
        <v>92</v>
      </c>
      <c r="C79" s="21" t="s">
        <v>488</v>
      </c>
      <c r="D79" s="21" t="s">
        <v>353</v>
      </c>
      <c r="E79" s="21"/>
      <c r="F79" s="20">
        <v>324</v>
      </c>
      <c r="G79" s="31">
        <v>43.496000000000002</v>
      </c>
      <c r="H79" s="31">
        <v>41.566000000000003</v>
      </c>
      <c r="I79" s="31">
        <v>39.880000000000003</v>
      </c>
      <c r="J79" s="31">
        <v>37.6</v>
      </c>
      <c r="K79" s="31">
        <v>35.299999999999997</v>
      </c>
      <c r="L79" s="31">
        <v>87.613500000000002</v>
      </c>
      <c r="M79" s="31">
        <v>89.010199999999998</v>
      </c>
      <c r="N79" s="31">
        <v>90.173400000000001</v>
      </c>
      <c r="O79" s="31">
        <f>100-8.42</f>
        <v>91.58</v>
      </c>
      <c r="P79" s="31">
        <f>100-7.58</f>
        <v>92.42</v>
      </c>
      <c r="Q79" s="31">
        <v>7869.1628000000001</v>
      </c>
      <c r="R79" s="31">
        <v>8708.9989999999998</v>
      </c>
      <c r="S79" s="31">
        <v>9629.9002</v>
      </c>
      <c r="T79" s="31">
        <v>11317</v>
      </c>
      <c r="U79" s="31">
        <v>12765</v>
      </c>
      <c r="V79" s="31">
        <f t="shared" si="16"/>
        <v>299880.95151954389</v>
      </c>
      <c r="W79" s="31">
        <f t="shared" si="17"/>
        <v>322215.36848800827</v>
      </c>
      <c r="X79" s="31">
        <f t="shared" si="18"/>
        <v>346302.3040666384</v>
      </c>
      <c r="Y79" s="31">
        <f t="shared" si="22"/>
        <v>389690.48336000001</v>
      </c>
      <c r="Z79" s="31">
        <f t="shared" si="22"/>
        <v>416448.67889999994</v>
      </c>
      <c r="AA79" s="84">
        <v>0.49599998000000001</v>
      </c>
      <c r="AB79" s="84">
        <v>0.53799998999999998</v>
      </c>
      <c r="AC79" s="84">
        <v>0.57400002000000006</v>
      </c>
      <c r="AD79">
        <f t="shared" si="19"/>
        <v>173351.86502439476</v>
      </c>
      <c r="AE79" s="84">
        <f t="shared" si="20"/>
        <v>147524.77460634185</v>
      </c>
      <c r="AF79" s="2">
        <f t="shared" si="21"/>
        <v>160438.3198153683</v>
      </c>
    </row>
    <row r="80" spans="2:32" hidden="1" x14ac:dyDescent="0.25">
      <c r="B80" s="32" t="s">
        <v>183</v>
      </c>
      <c r="C80" s="21" t="s">
        <v>487</v>
      </c>
      <c r="D80" s="21" t="s">
        <v>353</v>
      </c>
      <c r="E80" s="21"/>
      <c r="F80" s="20">
        <v>624</v>
      </c>
      <c r="G80" s="31">
        <v>43.466000000000001</v>
      </c>
      <c r="H80" s="31">
        <v>42.604999999999997</v>
      </c>
      <c r="I80" s="31">
        <v>41.356999999999999</v>
      </c>
      <c r="J80" s="31">
        <v>37.4</v>
      </c>
      <c r="K80" s="31">
        <v>35.700000000000003</v>
      </c>
      <c r="L80" s="31">
        <v>87.055599999999998</v>
      </c>
      <c r="M80" s="31">
        <v>87.930999999999997</v>
      </c>
      <c r="N80" s="31">
        <v>88.607799999999997</v>
      </c>
      <c r="O80" s="31">
        <f>100-10.98</f>
        <v>89.02</v>
      </c>
      <c r="P80" s="31">
        <f>100-10.08</f>
        <v>89.92</v>
      </c>
      <c r="Q80" s="31">
        <v>1220.2413999999999</v>
      </c>
      <c r="R80" s="31">
        <v>1369.7063999999998</v>
      </c>
      <c r="S80" s="31">
        <v>1541.3526000000002</v>
      </c>
      <c r="T80" s="31">
        <v>1681</v>
      </c>
      <c r="U80" s="31">
        <v>1863</v>
      </c>
      <c r="V80" s="31">
        <f t="shared" si="16"/>
        <v>46173.43073344497</v>
      </c>
      <c r="W80" s="31">
        <f t="shared" si="17"/>
        <v>51313.314355951305</v>
      </c>
      <c r="X80" s="31">
        <f t="shared" si="18"/>
        <v>56483.679623804499</v>
      </c>
      <c r="Y80" s="31">
        <f t="shared" si="22"/>
        <v>55966.339879999992</v>
      </c>
      <c r="Z80" s="31">
        <f t="shared" si="22"/>
        <v>59804.982720000007</v>
      </c>
      <c r="AA80" s="84">
        <v>0.52</v>
      </c>
      <c r="AB80" s="84">
        <v>0.56599997999999996</v>
      </c>
      <c r="AC80" s="84">
        <v>0.68</v>
      </c>
      <c r="AD80">
        <f t="shared" si="19"/>
        <v>29043.334899202149</v>
      </c>
      <c r="AE80" s="84">
        <f t="shared" si="20"/>
        <v>18074.777479617438</v>
      </c>
      <c r="AF80" s="2">
        <f t="shared" si="21"/>
        <v>23559.056189409792</v>
      </c>
    </row>
    <row r="81" spans="2:32" hidden="1" x14ac:dyDescent="0.25">
      <c r="B81" s="32" t="s">
        <v>46</v>
      </c>
      <c r="C81" s="21" t="s">
        <v>486</v>
      </c>
      <c r="D81" s="21" t="s">
        <v>356</v>
      </c>
      <c r="E81" s="21"/>
      <c r="F81" s="20">
        <v>328</v>
      </c>
      <c r="G81" s="31">
        <v>24.155999999999999</v>
      </c>
      <c r="H81" s="31">
        <v>21.331</v>
      </c>
      <c r="I81" s="31">
        <v>18.042999999999999</v>
      </c>
      <c r="J81" s="31">
        <v>17.399999999999999</v>
      </c>
      <c r="K81" s="31">
        <v>17</v>
      </c>
      <c r="L81" s="31">
        <v>94.272800000000004</v>
      </c>
      <c r="M81" s="31">
        <v>95.046800000000005</v>
      </c>
      <c r="N81" s="31">
        <v>95.764300000000006</v>
      </c>
      <c r="O81" s="31">
        <f>100-3.68</f>
        <v>96.32</v>
      </c>
      <c r="P81" s="31">
        <f>100-3.29</f>
        <v>96.71</v>
      </c>
      <c r="Q81" s="31">
        <v>758.07119999999998</v>
      </c>
      <c r="R81" s="31">
        <v>759.15440000000001</v>
      </c>
      <c r="S81" s="31">
        <v>763.62840000000006</v>
      </c>
      <c r="T81" s="31">
        <v>763</v>
      </c>
      <c r="U81" s="31">
        <v>773</v>
      </c>
      <c r="V81" s="31">
        <f t="shared" si="16"/>
        <v>17263.20488121884</v>
      </c>
      <c r="W81" s="31">
        <f t="shared" si="17"/>
        <v>15391.424949612998</v>
      </c>
      <c r="X81" s="31">
        <f t="shared" si="18"/>
        <v>13194.546239351632</v>
      </c>
      <c r="Y81" s="31">
        <f t="shared" si="22"/>
        <v>12787.635839999999</v>
      </c>
      <c r="Z81" s="31">
        <f t="shared" si="22"/>
        <v>12708.661099999999</v>
      </c>
      <c r="AA81" s="84">
        <v>0.86</v>
      </c>
      <c r="AB81" s="84">
        <v>0.89</v>
      </c>
      <c r="AC81" s="84">
        <v>0.94199997000000002</v>
      </c>
      <c r="AD81">
        <f t="shared" si="19"/>
        <v>13698.368205155568</v>
      </c>
      <c r="AE81" s="84">
        <f t="shared" si="20"/>
        <v>765.28407771878153</v>
      </c>
      <c r="AF81" s="2">
        <f t="shared" si="21"/>
        <v>7231.8261414371746</v>
      </c>
    </row>
    <row r="82" spans="2:32" hidden="1" x14ac:dyDescent="0.25">
      <c r="B82" s="32" t="s">
        <v>90</v>
      </c>
      <c r="C82" s="21" t="s">
        <v>485</v>
      </c>
      <c r="D82" s="21" t="s">
        <v>353</v>
      </c>
      <c r="E82" s="21"/>
      <c r="F82" s="20">
        <v>332</v>
      </c>
      <c r="G82" s="31">
        <v>32.692999999999998</v>
      </c>
      <c r="H82" s="31">
        <v>29.768999999999998</v>
      </c>
      <c r="I82" s="31">
        <v>27.852</v>
      </c>
      <c r="J82" s="31">
        <v>25.7</v>
      </c>
      <c r="K82" s="31">
        <v>23.9</v>
      </c>
      <c r="L82" s="31">
        <v>92.601100000000002</v>
      </c>
      <c r="M82" s="31">
        <v>93.049400000000006</v>
      </c>
      <c r="N82" s="31">
        <v>93.762</v>
      </c>
      <c r="O82" s="31">
        <f>100-5.83</f>
        <v>94.17</v>
      </c>
      <c r="P82" s="31">
        <f>100-5.18</f>
        <v>94.82</v>
      </c>
      <c r="Q82" s="31">
        <v>8175.482</v>
      </c>
      <c r="R82" s="31">
        <v>8953.3328000000001</v>
      </c>
      <c r="S82" s="31">
        <v>9720.7093999999997</v>
      </c>
      <c r="T82" s="31">
        <v>10654</v>
      </c>
      <c r="U82" s="31">
        <v>11311</v>
      </c>
      <c r="V82" s="31">
        <f t="shared" si="16"/>
        <v>247505.17667343924</v>
      </c>
      <c r="W82" s="31">
        <f t="shared" si="17"/>
        <v>248006.20732605286</v>
      </c>
      <c r="X82" s="31">
        <f t="shared" si="18"/>
        <v>253852.36226453504</v>
      </c>
      <c r="Y82" s="31">
        <f t="shared" si="22"/>
        <v>257844.80525999999</v>
      </c>
      <c r="Z82" s="31">
        <f t="shared" si="22"/>
        <v>256329.65577999994</v>
      </c>
      <c r="AA82" s="84">
        <v>0.43599998000000001</v>
      </c>
      <c r="AB82" s="84">
        <v>0.53</v>
      </c>
      <c r="AC82" s="84">
        <v>0.59</v>
      </c>
      <c r="AD82">
        <f t="shared" si="19"/>
        <v>131443.28988280802</v>
      </c>
      <c r="AE82" s="84">
        <f t="shared" si="20"/>
        <v>104079.46852845937</v>
      </c>
      <c r="AF82" s="2">
        <f t="shared" si="21"/>
        <v>117761.3792056337</v>
      </c>
    </row>
    <row r="83" spans="2:32" hidden="1" x14ac:dyDescent="0.25">
      <c r="B83" s="32" t="s">
        <v>45</v>
      </c>
      <c r="C83" s="21" t="s">
        <v>484</v>
      </c>
      <c r="D83" s="21" t="s">
        <v>356</v>
      </c>
      <c r="E83" s="21"/>
      <c r="F83" s="20">
        <v>340</v>
      </c>
      <c r="G83" s="31">
        <v>33.438000000000002</v>
      </c>
      <c r="H83" s="31">
        <v>30.056000000000001</v>
      </c>
      <c r="I83" s="31">
        <v>27.748000000000001</v>
      </c>
      <c r="J83" s="31">
        <v>25.8</v>
      </c>
      <c r="K83" s="31">
        <v>23.7</v>
      </c>
      <c r="L83" s="31">
        <v>96.461200000000005</v>
      </c>
      <c r="M83" s="31">
        <v>96.838399999999993</v>
      </c>
      <c r="N83" s="31">
        <v>97.188900000000004</v>
      </c>
      <c r="O83" s="31">
        <f>100-2.35</f>
        <v>97.65</v>
      </c>
      <c r="P83" s="31">
        <f>100-2.06</f>
        <v>97.94</v>
      </c>
      <c r="Q83" s="31">
        <v>5846.5312000000004</v>
      </c>
      <c r="R83" s="31">
        <v>6491.2547999999997</v>
      </c>
      <c r="S83" s="31">
        <v>7176.7407999999996</v>
      </c>
      <c r="T83" s="31">
        <v>8392</v>
      </c>
      <c r="U83" s="31">
        <v>9179</v>
      </c>
      <c r="V83" s="31">
        <f t="shared" si="16"/>
        <v>188578.08683792094</v>
      </c>
      <c r="W83" s="31">
        <f t="shared" si="17"/>
        <v>188932.83617543761</v>
      </c>
      <c r="X83" s="31">
        <f t="shared" si="18"/>
        <v>193542.17345167208</v>
      </c>
      <c r="Y83" s="31">
        <f t="shared" si="22"/>
        <v>211425.53040000002</v>
      </c>
      <c r="Z83" s="31">
        <f t="shared" si="22"/>
        <v>213060.92861999996</v>
      </c>
      <c r="AA83" s="84">
        <v>0.95000000000000007</v>
      </c>
      <c r="AB83" s="84">
        <v>0.94199997000000002</v>
      </c>
      <c r="AC83" s="84">
        <v>0.95599997999999997</v>
      </c>
      <c r="AD83">
        <f t="shared" si="19"/>
        <v>177974.72600927713</v>
      </c>
      <c r="AE83" s="84">
        <f t="shared" si="20"/>
        <v>8515.8595027170468</v>
      </c>
      <c r="AF83" s="2">
        <f t="shared" si="21"/>
        <v>93245.292755997085</v>
      </c>
    </row>
    <row r="84" spans="2:32" x14ac:dyDescent="0.25">
      <c r="B84" s="32" t="s">
        <v>182</v>
      </c>
      <c r="C84" s="21" t="s">
        <v>483</v>
      </c>
      <c r="D84" s="21" t="s">
        <v>366</v>
      </c>
      <c r="E84" s="21"/>
      <c r="F84" s="20">
        <v>348</v>
      </c>
      <c r="G84" s="31">
        <v>9.7590000000000003</v>
      </c>
      <c r="H84" s="31">
        <v>9.4420000000000002</v>
      </c>
      <c r="I84" s="31">
        <v>9.8580000000000005</v>
      </c>
      <c r="J84" s="31"/>
      <c r="K84" s="31"/>
      <c r="L84" s="31">
        <v>99.039699999999996</v>
      </c>
      <c r="M84" s="31">
        <v>99.283100000000005</v>
      </c>
      <c r="N84" s="31">
        <v>99.319199999999995</v>
      </c>
      <c r="O84" s="31"/>
      <c r="P84" s="31"/>
      <c r="Q84" s="31">
        <v>10286.958000000001</v>
      </c>
      <c r="R84" s="31">
        <v>10158.771000000001</v>
      </c>
      <c r="S84" s="31">
        <v>10054.938</v>
      </c>
      <c r="T84" s="31"/>
      <c r="U84" s="31"/>
      <c r="V84" s="31">
        <f t="shared" si="16"/>
        <v>99426.373888759452</v>
      </c>
      <c r="W84" s="31">
        <f t="shared" si="17"/>
        <v>95231.471640958858</v>
      </c>
      <c r="X84" s="31">
        <f t="shared" si="18"/>
        <v>98446.759095502362</v>
      </c>
      <c r="Y84" s="31"/>
      <c r="Z84" s="31"/>
      <c r="AA84" s="2">
        <v>0.99</v>
      </c>
      <c r="AB84" s="2">
        <v>0.99</v>
      </c>
      <c r="AC84" s="2">
        <v>0.99</v>
      </c>
      <c r="AD84">
        <f t="shared" si="19"/>
        <v>94279.156924549272</v>
      </c>
      <c r="AE84" s="84">
        <f t="shared" si="20"/>
        <v>984.46759095502455</v>
      </c>
      <c r="AF84" s="2">
        <f t="shared" si="21"/>
        <v>47631.81225775215</v>
      </c>
    </row>
    <row r="85" spans="2:32" x14ac:dyDescent="0.25">
      <c r="B85" s="32" t="s">
        <v>181</v>
      </c>
      <c r="C85" s="21" t="s">
        <v>482</v>
      </c>
      <c r="D85" s="21" t="s">
        <v>366</v>
      </c>
      <c r="E85" s="21"/>
      <c r="F85" s="20">
        <v>352</v>
      </c>
      <c r="G85" s="31">
        <v>15.500999999999999</v>
      </c>
      <c r="H85" s="31">
        <v>14.425000000000001</v>
      </c>
      <c r="I85" s="31">
        <v>14.738</v>
      </c>
      <c r="J85" s="31"/>
      <c r="K85" s="31"/>
      <c r="L85" s="31">
        <v>99.650499999999994</v>
      </c>
      <c r="M85" s="31">
        <v>99.689400000000006</v>
      </c>
      <c r="N85" s="31">
        <v>99.706199999999995</v>
      </c>
      <c r="O85" s="31"/>
      <c r="P85" s="31"/>
      <c r="Q85" s="31">
        <v>272.3</v>
      </c>
      <c r="R85" s="31">
        <v>287.12885</v>
      </c>
      <c r="S85" s="31">
        <v>309.71479999999997</v>
      </c>
      <c r="T85" s="31"/>
      <c r="U85" s="31"/>
      <c r="V85" s="31">
        <f t="shared" si="16"/>
        <v>4206.1701765614998</v>
      </c>
      <c r="W85" s="31">
        <f t="shared" si="17"/>
        <v>4128.9691258981575</v>
      </c>
      <c r="X85" s="31">
        <f t="shared" si="18"/>
        <v>4551.1659959895878</v>
      </c>
      <c r="Y85" s="31"/>
      <c r="Z85" s="31"/>
      <c r="AA85" s="2">
        <v>0.99</v>
      </c>
      <c r="AB85" s="2">
        <v>0.96199997000000004</v>
      </c>
      <c r="AC85" s="2">
        <v>0.96599997999999998</v>
      </c>
      <c r="AD85">
        <f t="shared" si="19"/>
        <v>3972.0681752449541</v>
      </c>
      <c r="AE85" s="84">
        <f t="shared" si="20"/>
        <v>154.739734886966</v>
      </c>
      <c r="AF85" s="2">
        <f t="shared" si="21"/>
        <v>2063.40395506596</v>
      </c>
    </row>
    <row r="86" spans="2:32" hidden="1" x14ac:dyDescent="0.25">
      <c r="B86" s="32" t="s">
        <v>44</v>
      </c>
      <c r="C86" s="21" t="s">
        <v>481</v>
      </c>
      <c r="D86" s="21" t="s">
        <v>823</v>
      </c>
      <c r="E86" s="21"/>
      <c r="F86" s="20">
        <v>356</v>
      </c>
      <c r="G86" s="31">
        <v>27.742999999999999</v>
      </c>
      <c r="H86" s="31">
        <v>25.411999999999999</v>
      </c>
      <c r="I86" s="31">
        <v>22.966000000000001</v>
      </c>
      <c r="J86" s="31">
        <v>21.3</v>
      </c>
      <c r="K86" s="31">
        <v>19.600000000000001</v>
      </c>
      <c r="L86" s="31">
        <v>93.026600000000002</v>
      </c>
      <c r="M86" s="31">
        <v>93.8262</v>
      </c>
      <c r="N86" s="31">
        <v>94.544899999999998</v>
      </c>
      <c r="O86" s="31">
        <f>100-4.79</f>
        <v>95.21</v>
      </c>
      <c r="P86" s="31">
        <f>100-4.38</f>
        <v>95.62</v>
      </c>
      <c r="Q86" s="31">
        <v>965500</v>
      </c>
      <c r="R86" s="31">
        <v>1048000</v>
      </c>
      <c r="S86" s="31">
        <v>1125000</v>
      </c>
      <c r="T86" s="31">
        <v>1308221</v>
      </c>
      <c r="U86" s="31">
        <v>1386909</v>
      </c>
      <c r="V86" s="31">
        <f t="shared" si="16"/>
        <v>24917980.885489002</v>
      </c>
      <c r="W86" s="31">
        <f t="shared" si="17"/>
        <v>24987583.413312003</v>
      </c>
      <c r="X86" s="31">
        <f t="shared" si="18"/>
        <v>24427329.450749997</v>
      </c>
      <c r="Y86" s="31">
        <f>J86*T86*(O86/100)</f>
        <v>26530368.660329998</v>
      </c>
      <c r="Z86" s="31">
        <f>K86*U86*(P86/100)</f>
        <v>25992782.761680003</v>
      </c>
      <c r="AA86" s="84">
        <v>0.64400002000000001</v>
      </c>
      <c r="AB86" s="84">
        <v>0.60400001999999997</v>
      </c>
      <c r="AC86" s="84">
        <v>0.66199996999999999</v>
      </c>
      <c r="AD86">
        <f t="shared" si="19"/>
        <v>15092500.881392118</v>
      </c>
      <c r="AE86" s="84">
        <f t="shared" si="20"/>
        <v>8256438.0871733828</v>
      </c>
      <c r="AF86" s="2">
        <f t="shared" si="21"/>
        <v>11674469.484282751</v>
      </c>
    </row>
    <row r="87" spans="2:32" hidden="1" x14ac:dyDescent="0.25">
      <c r="B87" s="32" t="s">
        <v>43</v>
      </c>
      <c r="C87" s="21" t="s">
        <v>480</v>
      </c>
      <c r="D87" s="21" t="s">
        <v>823</v>
      </c>
      <c r="E87" s="21"/>
      <c r="F87" s="20">
        <v>360</v>
      </c>
      <c r="G87" s="31">
        <v>21.991</v>
      </c>
      <c r="H87" s="31">
        <v>20.706</v>
      </c>
      <c r="I87" s="31">
        <v>18.756</v>
      </c>
      <c r="J87" s="31">
        <v>17.399999999999999</v>
      </c>
      <c r="K87" s="31">
        <v>15.7</v>
      </c>
      <c r="L87" s="31">
        <v>95.536000000000001</v>
      </c>
      <c r="M87" s="31">
        <v>96.582300000000004</v>
      </c>
      <c r="N87" s="31">
        <v>97.341700000000003</v>
      </c>
      <c r="O87" s="31">
        <f>100-2.49</f>
        <v>97.51</v>
      </c>
      <c r="P87" s="31">
        <f>100-2.22</f>
        <v>97.78</v>
      </c>
      <c r="Q87" s="31">
        <v>197000</v>
      </c>
      <c r="R87" s="31">
        <v>210900</v>
      </c>
      <c r="S87" s="31">
        <v>224600</v>
      </c>
      <c r="T87" s="31">
        <v>251880</v>
      </c>
      <c r="U87" s="31">
        <v>262569</v>
      </c>
      <c r="V87" s="31">
        <f t="shared" si="16"/>
        <v>4138836.3867199998</v>
      </c>
      <c r="W87" s="31">
        <f t="shared" si="17"/>
        <v>4217648.0159141989</v>
      </c>
      <c r="X87" s="31">
        <f t="shared" si="18"/>
        <v>4100614.1179991998</v>
      </c>
      <c r="Y87" s="31">
        <f>J87*T87*(O87/100)</f>
        <v>4273582.4712000005</v>
      </c>
      <c r="Z87" s="31">
        <f>K87*U87*(P87/100)</f>
        <v>4030817.50074</v>
      </c>
      <c r="AA87" s="84">
        <v>0.71599997999999998</v>
      </c>
      <c r="AB87" s="84">
        <v>0.70800003</v>
      </c>
      <c r="AC87" s="84">
        <v>0.75599998000000002</v>
      </c>
      <c r="AD87">
        <f t="shared" si="19"/>
        <v>2986094.9217966935</v>
      </c>
      <c r="AE87" s="84">
        <f t="shared" si="20"/>
        <v>1000549.926804087</v>
      </c>
      <c r="AF87" s="2">
        <f t="shared" si="21"/>
        <v>1993322.4243003903</v>
      </c>
    </row>
    <row r="88" spans="2:32" hidden="1" x14ac:dyDescent="0.25">
      <c r="B88" s="32" t="s">
        <v>180</v>
      </c>
      <c r="C88" s="21" t="s">
        <v>479</v>
      </c>
      <c r="D88" s="21" t="s">
        <v>361</v>
      </c>
      <c r="E88" s="21"/>
      <c r="F88" s="20">
        <v>364</v>
      </c>
      <c r="G88" s="31">
        <v>20.608000000000001</v>
      </c>
      <c r="H88" s="31">
        <v>19.945</v>
      </c>
      <c r="I88" s="31">
        <v>18.940000000000001</v>
      </c>
      <c r="J88" s="31"/>
      <c r="K88" s="31"/>
      <c r="L88" s="31">
        <v>95.6404</v>
      </c>
      <c r="M88" s="31">
        <v>96.494200000000006</v>
      </c>
      <c r="N88" s="31">
        <v>97.092100000000002</v>
      </c>
      <c r="O88" s="31"/>
      <c r="P88" s="31"/>
      <c r="Q88" s="31">
        <v>60875.754999999997</v>
      </c>
      <c r="R88" s="31">
        <v>66008.826000000001</v>
      </c>
      <c r="S88" s="31">
        <v>71013.252999999997</v>
      </c>
      <c r="T88" s="31"/>
      <c r="U88" s="31"/>
      <c r="V88" s="31">
        <f t="shared" si="16"/>
        <v>1199835.1755760922</v>
      </c>
      <c r="W88" s="31">
        <f t="shared" si="17"/>
        <v>1270390.5636900451</v>
      </c>
      <c r="X88" s="31">
        <f t="shared" si="18"/>
        <v>1305880.0181872863</v>
      </c>
      <c r="Y88" s="31"/>
      <c r="Z88" s="31"/>
      <c r="AA88" s="2">
        <v>0.98800003000000003</v>
      </c>
      <c r="AB88" s="2">
        <v>0.98199996999999994</v>
      </c>
      <c r="AC88" s="2">
        <v>0.98</v>
      </c>
      <c r="AD88">
        <f t="shared" si="19"/>
        <v>1247523.4954319072</v>
      </c>
      <c r="AE88" s="84">
        <f t="shared" si="20"/>
        <v>26117.600363745751</v>
      </c>
      <c r="AF88" s="2">
        <f t="shared" si="21"/>
        <v>636820.54789782653</v>
      </c>
    </row>
    <row r="89" spans="2:32" hidden="1" x14ac:dyDescent="0.25">
      <c r="B89" s="32" t="s">
        <v>42</v>
      </c>
      <c r="C89" s="21" t="s">
        <v>478</v>
      </c>
      <c r="D89" s="21" t="s">
        <v>356</v>
      </c>
      <c r="E89" s="21"/>
      <c r="F89" s="20">
        <v>368</v>
      </c>
      <c r="G89" s="31">
        <v>37.627000000000002</v>
      </c>
      <c r="H89" s="31">
        <v>34.113</v>
      </c>
      <c r="I89" s="31">
        <v>31.585000000000001</v>
      </c>
      <c r="J89" s="31">
        <v>34.1</v>
      </c>
      <c r="K89" s="31">
        <v>32.1</v>
      </c>
      <c r="L89" s="31">
        <v>95.624200000000002</v>
      </c>
      <c r="M89" s="31">
        <v>96.3506</v>
      </c>
      <c r="N89" s="31">
        <v>96.681299999999993</v>
      </c>
      <c r="O89" s="31">
        <f>100-3.33</f>
        <v>96.67</v>
      </c>
      <c r="P89" s="31">
        <f>100-3.05</f>
        <v>96.95</v>
      </c>
      <c r="Q89" s="31">
        <v>22953.375</v>
      </c>
      <c r="R89" s="31">
        <v>26421.871999999999</v>
      </c>
      <c r="S89" s="31">
        <v>29966.483</v>
      </c>
      <c r="T89" s="31">
        <v>36977</v>
      </c>
      <c r="U89" s="31">
        <v>42684</v>
      </c>
      <c r="V89" s="31">
        <f t="shared" si="16"/>
        <v>825874.31624265236</v>
      </c>
      <c r="W89" s="31">
        <f t="shared" si="17"/>
        <v>868436.20734885323</v>
      </c>
      <c r="X89" s="31">
        <f t="shared" si="18"/>
        <v>915080.15660632611</v>
      </c>
      <c r="Y89" s="31">
        <f>J89*T89*(O89/100)</f>
        <v>1218927.20719</v>
      </c>
      <c r="Z89" s="31">
        <f>K89*U89*(P89/100)</f>
        <v>1328366.6298000002</v>
      </c>
      <c r="AA89" s="84">
        <v>0.77800003000000006</v>
      </c>
      <c r="AB89" s="84">
        <v>0.73</v>
      </c>
      <c r="AC89" s="84">
        <v>0.65</v>
      </c>
      <c r="AD89">
        <f t="shared" si="19"/>
        <v>633958.43136466283</v>
      </c>
      <c r="AE89" s="84">
        <f t="shared" si="20"/>
        <v>320278.0548122141</v>
      </c>
      <c r="AF89" s="2">
        <f t="shared" si="21"/>
        <v>477118.24308843847</v>
      </c>
    </row>
    <row r="90" spans="2:32" x14ac:dyDescent="0.25">
      <c r="B90" s="32" t="s">
        <v>179</v>
      </c>
      <c r="C90" s="21" t="s">
        <v>477</v>
      </c>
      <c r="D90" s="21" t="s">
        <v>366</v>
      </c>
      <c r="E90" s="21"/>
      <c r="F90" s="20">
        <v>372</v>
      </c>
      <c r="G90" s="31">
        <v>14.144</v>
      </c>
      <c r="H90" s="31">
        <v>15.209</v>
      </c>
      <c r="I90" s="31">
        <v>15.645</v>
      </c>
      <c r="J90" s="31"/>
      <c r="K90" s="31"/>
      <c r="L90" s="31">
        <v>99.371600000000001</v>
      </c>
      <c r="M90" s="31">
        <v>99.460599999999999</v>
      </c>
      <c r="N90" s="31">
        <v>99.552999999999997</v>
      </c>
      <c r="O90" s="31"/>
      <c r="P90" s="31"/>
      <c r="Q90" s="31">
        <v>3677.72</v>
      </c>
      <c r="R90" s="31">
        <v>3933.56</v>
      </c>
      <c r="S90" s="31">
        <v>4330.585</v>
      </c>
      <c r="T90" s="31"/>
      <c r="U90" s="31"/>
      <c r="V90" s="31">
        <f t="shared" si="16"/>
        <v>51690.792631162883</v>
      </c>
      <c r="W90" s="31">
        <f t="shared" si="17"/>
        <v>59502.815217268231</v>
      </c>
      <c r="X90" s="31">
        <f t="shared" si="18"/>
        <v>67449.15087460725</v>
      </c>
      <c r="Y90" s="31"/>
      <c r="Z90" s="31"/>
      <c r="AA90" s="2">
        <v>0.78599998000000004</v>
      </c>
      <c r="AB90" s="2">
        <v>0.85599997999999999</v>
      </c>
      <c r="AC90" s="2">
        <v>0.91800003000000008</v>
      </c>
      <c r="AD90">
        <f t="shared" si="19"/>
        <v>50934.408635925298</v>
      </c>
      <c r="AE90" s="84">
        <f t="shared" si="20"/>
        <v>5530.8283482432635</v>
      </c>
      <c r="AF90" s="2">
        <f t="shared" si="21"/>
        <v>28232.618492084279</v>
      </c>
    </row>
    <row r="91" spans="2:32" x14ac:dyDescent="0.25">
      <c r="B91" s="32" t="s">
        <v>178</v>
      </c>
      <c r="C91" s="21" t="s">
        <v>476</v>
      </c>
      <c r="D91" s="21" t="s">
        <v>366</v>
      </c>
      <c r="E91" s="21"/>
      <c r="F91" s="20">
        <v>376</v>
      </c>
      <c r="G91" s="31">
        <v>21.462</v>
      </c>
      <c r="H91" s="31">
        <v>21.059000000000001</v>
      </c>
      <c r="I91" s="31">
        <v>20.027999999999999</v>
      </c>
      <c r="J91" s="31"/>
      <c r="K91" s="31"/>
      <c r="L91" s="31">
        <v>99.410899999999998</v>
      </c>
      <c r="M91" s="31">
        <v>99.490600000000001</v>
      </c>
      <c r="N91" s="31">
        <v>99.525599999999997</v>
      </c>
      <c r="O91" s="31"/>
      <c r="P91" s="31"/>
      <c r="Q91" s="31">
        <v>5833.8</v>
      </c>
      <c r="R91" s="31">
        <v>6559.34</v>
      </c>
      <c r="S91" s="31">
        <v>7182.88</v>
      </c>
      <c r="T91" s="31"/>
      <c r="U91" s="31"/>
      <c r="V91" s="31">
        <f t="shared" si="16"/>
        <v>124467.4328531004</v>
      </c>
      <c r="W91" s="31">
        <f t="shared" si="17"/>
        <v>137429.49083944038</v>
      </c>
      <c r="X91" s="31">
        <f t="shared" si="18"/>
        <v>143176.25486928382</v>
      </c>
      <c r="Y91" s="31"/>
      <c r="Z91" s="31"/>
      <c r="AA91" s="2">
        <v>0.95400002000000006</v>
      </c>
      <c r="AB91" s="2">
        <v>0.95800003</v>
      </c>
      <c r="AC91" s="2">
        <v>0.93</v>
      </c>
      <c r="AD91">
        <f t="shared" si="19"/>
        <v>131657.4563470686</v>
      </c>
      <c r="AE91" s="84">
        <f t="shared" si="20"/>
        <v>10022.337840849861</v>
      </c>
      <c r="AF91" s="2">
        <f t="shared" si="21"/>
        <v>70839.897093959225</v>
      </c>
    </row>
    <row r="92" spans="2:32" x14ac:dyDescent="0.25">
      <c r="B92" s="32" t="s">
        <v>177</v>
      </c>
      <c r="C92" s="21" t="s">
        <v>475</v>
      </c>
      <c r="D92" s="21" t="s">
        <v>366</v>
      </c>
      <c r="E92" s="21"/>
      <c r="F92" s="20">
        <v>380</v>
      </c>
      <c r="G92" s="31">
        <v>9.1989999999999998</v>
      </c>
      <c r="H92" s="31">
        <v>9.1780000000000008</v>
      </c>
      <c r="I92" s="31">
        <v>9.2579999999999991</v>
      </c>
      <c r="J92" s="31"/>
      <c r="K92" s="31"/>
      <c r="L92" s="31">
        <v>99.435699999999997</v>
      </c>
      <c r="M92" s="31">
        <v>99.577600000000004</v>
      </c>
      <c r="N92" s="31">
        <v>99.614099999999993</v>
      </c>
      <c r="O92" s="31"/>
      <c r="P92" s="31"/>
      <c r="Q92" s="31">
        <v>56887.040000000001</v>
      </c>
      <c r="R92" s="31">
        <v>57373.33</v>
      </c>
      <c r="S92" s="31">
        <v>59395.446000000004</v>
      </c>
      <c r="T92" s="31"/>
      <c r="U92" s="31"/>
      <c r="V92" s="31">
        <f t="shared" si="16"/>
        <v>520350.8771597427</v>
      </c>
      <c r="W92" s="31">
        <f t="shared" si="17"/>
        <v>524348.18082634639</v>
      </c>
      <c r="X92" s="31">
        <f t="shared" si="18"/>
        <v>547761.04042023653</v>
      </c>
      <c r="Y92" s="31"/>
      <c r="Z92" s="31"/>
      <c r="AA92" s="2">
        <v>0.95199997000000003</v>
      </c>
      <c r="AB92" s="2">
        <v>0.92599998000000006</v>
      </c>
      <c r="AC92" s="2">
        <v>0.96</v>
      </c>
      <c r="AD92">
        <f t="shared" si="19"/>
        <v>485546.40495823318</v>
      </c>
      <c r="AE92" s="84">
        <f t="shared" si="20"/>
        <v>21910.441616809479</v>
      </c>
      <c r="AF92" s="2">
        <f t="shared" si="21"/>
        <v>253728.42328752132</v>
      </c>
    </row>
    <row r="93" spans="2:32" hidden="1" x14ac:dyDescent="0.25">
      <c r="B93" s="32" t="s">
        <v>176</v>
      </c>
      <c r="C93" s="21" t="s">
        <v>474</v>
      </c>
      <c r="D93" s="21" t="s">
        <v>361</v>
      </c>
      <c r="E93" s="21"/>
      <c r="F93" s="20">
        <v>388</v>
      </c>
      <c r="G93" s="31">
        <v>23.08</v>
      </c>
      <c r="H93" s="31">
        <v>20.991</v>
      </c>
      <c r="I93" s="31">
        <v>19.460999999999999</v>
      </c>
      <c r="J93" s="31"/>
      <c r="K93" s="31"/>
      <c r="L93" s="31">
        <v>97.3553</v>
      </c>
      <c r="M93" s="31">
        <v>97.4114</v>
      </c>
      <c r="N93" s="31">
        <v>97.665599999999998</v>
      </c>
      <c r="O93" s="31"/>
      <c r="P93" s="31"/>
      <c r="Q93" s="31">
        <v>2531.0122999999999</v>
      </c>
      <c r="R93" s="31">
        <v>2615.0945000000002</v>
      </c>
      <c r="S93" s="31">
        <v>2675.2232999999997</v>
      </c>
      <c r="T93" s="31"/>
      <c r="U93" s="31"/>
      <c r="V93" s="31">
        <f t="shared" si="16"/>
        <v>56870.842176559847</v>
      </c>
      <c r="W93" s="31">
        <f t="shared" si="17"/>
        <v>53472.476837759044</v>
      </c>
      <c r="X93" s="31">
        <f t="shared" si="18"/>
        <v>50847.173159449485</v>
      </c>
      <c r="Y93" s="31"/>
      <c r="Z93" s="31"/>
      <c r="AA93" s="2">
        <v>0.88199996999999997</v>
      </c>
      <c r="AB93" s="2">
        <v>0.84599997999999998</v>
      </c>
      <c r="AC93" s="2">
        <v>0.87</v>
      </c>
      <c r="AD93">
        <f t="shared" si="19"/>
        <v>45237.714335294615</v>
      </c>
      <c r="AE93" s="84">
        <f t="shared" si="20"/>
        <v>6610.1325107284329</v>
      </c>
      <c r="AF93" s="2">
        <f t="shared" si="21"/>
        <v>25923.923423011525</v>
      </c>
    </row>
    <row r="94" spans="2:32" x14ac:dyDescent="0.25">
      <c r="B94" s="32" t="s">
        <v>175</v>
      </c>
      <c r="C94" s="21" t="s">
        <v>473</v>
      </c>
      <c r="D94" s="21" t="s">
        <v>366</v>
      </c>
      <c r="E94" s="21"/>
      <c r="F94" s="20">
        <v>392</v>
      </c>
      <c r="G94" s="31">
        <v>9.4480000000000004</v>
      </c>
      <c r="H94" s="31">
        <v>8.9239999999999995</v>
      </c>
      <c r="I94" s="31">
        <v>8.2010000000000005</v>
      </c>
      <c r="J94" s="31"/>
      <c r="K94" s="31"/>
      <c r="L94" s="31">
        <v>99.624200000000002</v>
      </c>
      <c r="M94" s="31">
        <v>99.6965</v>
      </c>
      <c r="N94" s="31">
        <v>99.683999999999997</v>
      </c>
      <c r="O94" s="31"/>
      <c r="P94" s="31"/>
      <c r="Q94" s="31">
        <v>126100</v>
      </c>
      <c r="R94" s="31">
        <v>127400</v>
      </c>
      <c r="S94" s="31">
        <v>127700</v>
      </c>
      <c r="T94" s="31"/>
      <c r="U94" s="31"/>
      <c r="V94" s="31">
        <f t="shared" si="16"/>
        <v>1186915.5458576002</v>
      </c>
      <c r="W94" s="31">
        <f t="shared" si="17"/>
        <v>1133467.0550839999</v>
      </c>
      <c r="X94" s="31">
        <f t="shared" si="18"/>
        <v>1043958.334068</v>
      </c>
      <c r="Y94" s="31"/>
      <c r="Z94" s="31"/>
      <c r="AA94" s="2">
        <v>0.79599998000000005</v>
      </c>
      <c r="AB94" s="2">
        <v>0.94400002000000005</v>
      </c>
      <c r="AC94" s="2">
        <v>0.98</v>
      </c>
      <c r="AD94">
        <f t="shared" si="19"/>
        <v>1069992.922668637</v>
      </c>
      <c r="AE94" s="84">
        <f t="shared" si="20"/>
        <v>20879.166681360017</v>
      </c>
      <c r="AF94" s="2">
        <f t="shared" si="21"/>
        <v>545436.0446749985</v>
      </c>
    </row>
    <row r="95" spans="2:32" hidden="1" x14ac:dyDescent="0.25">
      <c r="B95" s="32" t="s">
        <v>41</v>
      </c>
      <c r="C95" s="21" t="s">
        <v>472</v>
      </c>
      <c r="D95" s="21" t="s">
        <v>356</v>
      </c>
      <c r="E95" s="21"/>
      <c r="F95" s="20">
        <v>400</v>
      </c>
      <c r="G95" s="31">
        <v>32.356000000000002</v>
      </c>
      <c r="H95" s="31">
        <v>27.765000000000001</v>
      </c>
      <c r="I95" s="31">
        <v>26.04</v>
      </c>
      <c r="J95" s="31">
        <v>23.7</v>
      </c>
      <c r="K95" s="31">
        <v>21.6</v>
      </c>
      <c r="L95" s="31">
        <v>97.204099999999997</v>
      </c>
      <c r="M95" s="31">
        <v>97.680400000000006</v>
      </c>
      <c r="N95" s="31">
        <v>98.058899999999994</v>
      </c>
      <c r="O95" s="31">
        <f>100-1.91</f>
        <v>98.09</v>
      </c>
      <c r="P95" s="31">
        <f>100-1.78</f>
        <v>98.22</v>
      </c>
      <c r="Q95" s="31">
        <v>4451.4133000000002</v>
      </c>
      <c r="R95" s="31">
        <v>5041.3999999999996</v>
      </c>
      <c r="S95" s="31">
        <v>5678.3</v>
      </c>
      <c r="T95" s="31">
        <v>6797</v>
      </c>
      <c r="U95" s="31">
        <v>7366</v>
      </c>
      <c r="V95" s="31">
        <f t="shared" si="16"/>
        <v>140002.99595730373</v>
      </c>
      <c r="W95" s="31">
        <f t="shared" si="17"/>
        <v>136727.623170684</v>
      </c>
      <c r="X95" s="31">
        <f t="shared" si="18"/>
        <v>144992.76462694799</v>
      </c>
      <c r="Y95" s="31">
        <f>J95*T95*(O95/100)</f>
        <v>158012.10201</v>
      </c>
      <c r="Z95" s="31">
        <f>K95*U95*(P95/100)</f>
        <v>156273.52032000001</v>
      </c>
      <c r="AA95" s="84">
        <v>0.9480000300000001</v>
      </c>
      <c r="AB95" s="84">
        <v>0.95400002000000006</v>
      </c>
      <c r="AC95" s="84">
        <v>0.97199996999999994</v>
      </c>
      <c r="AD95">
        <f t="shared" si="19"/>
        <v>130438.15523938501</v>
      </c>
      <c r="AE95" s="84">
        <f t="shared" si="20"/>
        <v>4059.8017593374921</v>
      </c>
      <c r="AF95" s="2">
        <f t="shared" si="21"/>
        <v>67248.978499361256</v>
      </c>
    </row>
    <row r="96" spans="2:32" hidden="1" x14ac:dyDescent="0.25">
      <c r="B96" s="32" t="s">
        <v>174</v>
      </c>
      <c r="C96" s="21" t="s">
        <v>471</v>
      </c>
      <c r="D96" s="21" t="s">
        <v>361</v>
      </c>
      <c r="E96" s="21"/>
      <c r="F96" s="20">
        <v>398</v>
      </c>
      <c r="G96" s="31">
        <v>16.218</v>
      </c>
      <c r="H96" s="31">
        <v>16.672000000000001</v>
      </c>
      <c r="I96" s="31">
        <v>19.774999999999999</v>
      </c>
      <c r="J96" s="31"/>
      <c r="K96" s="31"/>
      <c r="L96" s="31">
        <v>95.657399999999996</v>
      </c>
      <c r="M96" s="31">
        <v>96.797799999999995</v>
      </c>
      <c r="N96" s="31">
        <v>97.4405</v>
      </c>
      <c r="O96" s="31"/>
      <c r="P96" s="31"/>
      <c r="Q96" s="31">
        <v>15345.39</v>
      </c>
      <c r="R96" s="31">
        <v>14901.96</v>
      </c>
      <c r="S96" s="31">
        <v>15489.24</v>
      </c>
      <c r="T96" s="31"/>
      <c r="U96" s="31"/>
      <c r="V96" s="31">
        <f t="shared" si="16"/>
        <v>238064.03974022146</v>
      </c>
      <c r="W96" s="31">
        <f t="shared" si="17"/>
        <v>240489.75605166334</v>
      </c>
      <c r="X96" s="31">
        <f t="shared" si="18"/>
        <v>298459.97964100493</v>
      </c>
      <c r="Y96" s="31"/>
      <c r="Z96" s="31"/>
      <c r="AA96" s="2">
        <v>0.96400002000000007</v>
      </c>
      <c r="AB96" s="2">
        <v>0.9380000300000001</v>
      </c>
      <c r="AC96" s="2">
        <v>0.97400002000000008</v>
      </c>
      <c r="AD96">
        <f t="shared" si="19"/>
        <v>225579.39839115291</v>
      </c>
      <c r="AE96" s="84">
        <f t="shared" si="20"/>
        <v>7759.9535014665125</v>
      </c>
      <c r="AF96" s="2">
        <f t="shared" si="21"/>
        <v>116669.67594630971</v>
      </c>
    </row>
    <row r="97" spans="2:32" hidden="1" x14ac:dyDescent="0.25">
      <c r="B97" s="32" t="s">
        <v>89</v>
      </c>
      <c r="C97" s="21" t="s">
        <v>470</v>
      </c>
      <c r="D97" s="21" t="s">
        <v>353</v>
      </c>
      <c r="E97" s="21"/>
      <c r="F97" s="20">
        <v>404</v>
      </c>
      <c r="G97" s="31">
        <v>38.195999999999998</v>
      </c>
      <c r="H97" s="31">
        <v>38.777999999999999</v>
      </c>
      <c r="I97" s="31">
        <v>39.026000000000003</v>
      </c>
      <c r="J97" s="31">
        <v>36.9</v>
      </c>
      <c r="K97" s="31">
        <v>34.5</v>
      </c>
      <c r="L97" s="31">
        <v>93.097800000000007</v>
      </c>
      <c r="M97" s="31">
        <v>92.957700000000003</v>
      </c>
      <c r="N97" s="31">
        <v>93.616</v>
      </c>
      <c r="O97" s="31">
        <f>100-5.81</f>
        <v>94.19</v>
      </c>
      <c r="P97" s="31">
        <f>100-5.29</f>
        <v>94.71</v>
      </c>
      <c r="Q97" s="31">
        <v>29063.411</v>
      </c>
      <c r="R97" s="31">
        <v>33142.156999999999</v>
      </c>
      <c r="S97" s="31">
        <v>37782.084999999999</v>
      </c>
      <c r="T97" s="31">
        <v>46332</v>
      </c>
      <c r="U97" s="31">
        <v>52564</v>
      </c>
      <c r="V97" s="31">
        <f t="shared" si="16"/>
        <v>1033484.3070106118</v>
      </c>
      <c r="W97" s="31">
        <f t="shared" si="17"/>
        <v>1194679.8707391461</v>
      </c>
      <c r="X97" s="31">
        <f t="shared" si="18"/>
        <v>1380352.613044434</v>
      </c>
      <c r="Y97" s="31">
        <f>J97*T97*(O97/100)</f>
        <v>1610320.08852</v>
      </c>
      <c r="Z97" s="31">
        <f>K97*U97*(P97/100)</f>
        <v>1717526.0717999998</v>
      </c>
      <c r="AA97" s="84">
        <v>0.84599997999999998</v>
      </c>
      <c r="AB97" s="84">
        <v>0.78400002000000002</v>
      </c>
      <c r="AC97" s="84">
        <v>0.76800003000000006</v>
      </c>
      <c r="AD97">
        <f t="shared" si="19"/>
        <v>936629.04255308805</v>
      </c>
      <c r="AE97" s="84">
        <f t="shared" si="20"/>
        <v>320241.76481573022</v>
      </c>
      <c r="AF97" s="2">
        <f t="shared" si="21"/>
        <v>628435.4036844091</v>
      </c>
    </row>
    <row r="98" spans="2:32" x14ac:dyDescent="0.25">
      <c r="B98" s="32" t="s">
        <v>173</v>
      </c>
      <c r="C98" s="21" t="s">
        <v>469</v>
      </c>
      <c r="D98" s="21" t="s">
        <v>366</v>
      </c>
      <c r="E98" s="21"/>
      <c r="F98" s="20">
        <v>414</v>
      </c>
      <c r="G98" s="31">
        <v>20.559000000000001</v>
      </c>
      <c r="H98" s="31">
        <v>18.559000000000001</v>
      </c>
      <c r="I98" s="31">
        <v>17.911000000000001</v>
      </c>
      <c r="J98" s="31"/>
      <c r="K98" s="31"/>
      <c r="L98" s="31">
        <v>98.9131</v>
      </c>
      <c r="M98" s="31">
        <v>99.025899999999993</v>
      </c>
      <c r="N98" s="31">
        <v>99.090599999999995</v>
      </c>
      <c r="O98" s="31"/>
      <c r="P98" s="31"/>
      <c r="Q98" s="31">
        <v>1962</v>
      </c>
      <c r="R98" s="31">
        <v>2331.174</v>
      </c>
      <c r="S98" s="31">
        <v>2664.1205</v>
      </c>
      <c r="T98" s="31"/>
      <c r="U98" s="31"/>
      <c r="V98" s="31">
        <f t="shared" si="16"/>
        <v>39898.337777298002</v>
      </c>
      <c r="W98" s="31">
        <f t="shared" si="17"/>
        <v>42842.821126230898</v>
      </c>
      <c r="X98" s="31">
        <f t="shared" si="18"/>
        <v>47283.123311166608</v>
      </c>
      <c r="Y98" s="31"/>
      <c r="Z98" s="31"/>
      <c r="AA98" s="2">
        <v>0.96599997999999998</v>
      </c>
      <c r="AB98" s="2">
        <v>0.98599998</v>
      </c>
      <c r="AC98" s="2">
        <v>0.98</v>
      </c>
      <c r="AD98">
        <f t="shared" si="19"/>
        <v>42243.020773607241</v>
      </c>
      <c r="AE98" s="84">
        <f t="shared" si="20"/>
        <v>945.66246622333301</v>
      </c>
      <c r="AF98" s="2">
        <f t="shared" si="21"/>
        <v>21594.341619915285</v>
      </c>
    </row>
    <row r="99" spans="2:32" hidden="1" x14ac:dyDescent="0.25">
      <c r="B99" s="32" t="s">
        <v>172</v>
      </c>
      <c r="C99" s="21" t="s">
        <v>468</v>
      </c>
      <c r="D99" s="21" t="s">
        <v>353</v>
      </c>
      <c r="E99" s="21"/>
      <c r="F99" s="20">
        <v>417</v>
      </c>
      <c r="G99" s="31">
        <v>24.152000000000001</v>
      </c>
      <c r="H99" s="31">
        <v>20.928999999999998</v>
      </c>
      <c r="I99" s="31">
        <v>22.38</v>
      </c>
      <c r="J99" s="31">
        <v>24</v>
      </c>
      <c r="K99" s="31">
        <v>22.4</v>
      </c>
      <c r="L99" s="31">
        <v>95.174700000000001</v>
      </c>
      <c r="M99" s="31">
        <v>95.967799999999997</v>
      </c>
      <c r="N99" s="31">
        <v>96.271500000000003</v>
      </c>
      <c r="O99" s="31">
        <f>100-3.28</f>
        <v>96.72</v>
      </c>
      <c r="P99" s="31">
        <f>100-2.99</f>
        <v>97.01</v>
      </c>
      <c r="Q99" s="31">
        <v>4726.7</v>
      </c>
      <c r="R99" s="31">
        <v>4998.9404000000004</v>
      </c>
      <c r="S99" s="31">
        <v>5233.9309999999996</v>
      </c>
      <c r="T99" s="31">
        <v>5627</v>
      </c>
      <c r="U99" s="31">
        <v>6012</v>
      </c>
      <c r="V99" s="31">
        <f t="shared" si="16"/>
        <v>108650.7317044248</v>
      </c>
      <c r="W99" s="31">
        <f t="shared" si="17"/>
        <v>100404.22213712662</v>
      </c>
      <c r="X99" s="31">
        <f t="shared" si="18"/>
        <v>112767.98329404269</v>
      </c>
      <c r="Y99" s="31">
        <f>J99*T99*(O99/100)</f>
        <v>130618.42559999999</v>
      </c>
      <c r="Z99" s="31">
        <f>K99*U99*(P99/100)</f>
        <v>130642.20288</v>
      </c>
      <c r="AA99" s="84">
        <v>0.97</v>
      </c>
      <c r="AB99" s="84">
        <v>0.98599998</v>
      </c>
      <c r="AC99" s="84">
        <v>0.9480000300000001</v>
      </c>
      <c r="AD99">
        <f t="shared" si="19"/>
        <v>98998.561019122411</v>
      </c>
      <c r="AE99" s="84">
        <f t="shared" si="20"/>
        <v>5863.9317482507095</v>
      </c>
      <c r="AF99" s="2">
        <f t="shared" si="21"/>
        <v>52431.246383686557</v>
      </c>
    </row>
    <row r="100" spans="2:32" hidden="1" x14ac:dyDescent="0.25">
      <c r="B100" s="32" t="s">
        <v>171</v>
      </c>
      <c r="C100" s="21" t="s">
        <v>467</v>
      </c>
      <c r="D100" s="21" t="s">
        <v>356</v>
      </c>
      <c r="E100" s="21"/>
      <c r="F100" s="20">
        <v>418</v>
      </c>
      <c r="G100" s="31">
        <v>36.46</v>
      </c>
      <c r="H100" s="31">
        <v>29.056999999999999</v>
      </c>
      <c r="I100" s="31">
        <v>27.611999999999998</v>
      </c>
      <c r="J100" s="31">
        <v>21.8</v>
      </c>
      <c r="K100" s="31">
        <v>20.2</v>
      </c>
      <c r="L100" s="31">
        <v>92.759699999999995</v>
      </c>
      <c r="M100" s="31">
        <v>93.969499999999996</v>
      </c>
      <c r="N100" s="31">
        <v>95.026200000000003</v>
      </c>
      <c r="O100" s="31">
        <f>100-3.68</f>
        <v>96.32</v>
      </c>
      <c r="P100" s="31">
        <f>100-3.04</f>
        <v>96.96</v>
      </c>
      <c r="Q100" s="31">
        <v>5053.3977999999997</v>
      </c>
      <c r="R100" s="31">
        <v>5595.9327999999996</v>
      </c>
      <c r="S100" s="31">
        <v>6096.2865999999995</v>
      </c>
      <c r="T100" s="31">
        <v>6628</v>
      </c>
      <c r="U100" s="31">
        <v>7045</v>
      </c>
      <c r="V100" s="31">
        <f t="shared" si="16"/>
        <v>170906.85666109744</v>
      </c>
      <c r="W100" s="31">
        <f t="shared" si="17"/>
        <v>152795.36489651626</v>
      </c>
      <c r="X100" s="31">
        <f t="shared" si="18"/>
        <v>159958.23495362696</v>
      </c>
      <c r="Y100" s="31">
        <f>J100*T100*(O100/100)</f>
        <v>139173.15328</v>
      </c>
      <c r="Z100" s="31">
        <f>K100*U100*(P100/100)</f>
        <v>137982.80639999997</v>
      </c>
      <c r="AA100" s="84">
        <v>0.56200000999999999</v>
      </c>
      <c r="AB100" s="84">
        <v>0.5</v>
      </c>
      <c r="AC100" s="84">
        <v>0.55400002000000004</v>
      </c>
      <c r="AD100">
        <f t="shared" si="19"/>
        <v>76397.682448258129</v>
      </c>
      <c r="AE100" s="84">
        <f t="shared" si="20"/>
        <v>71341.369590152914</v>
      </c>
      <c r="AF100" s="2">
        <f t="shared" si="21"/>
        <v>73869.526019205514</v>
      </c>
    </row>
    <row r="101" spans="2:32" hidden="1" x14ac:dyDescent="0.25">
      <c r="B101" s="32" t="s">
        <v>170</v>
      </c>
      <c r="C101" s="21" t="s">
        <v>466</v>
      </c>
      <c r="D101" s="21" t="s">
        <v>361</v>
      </c>
      <c r="E101" s="21"/>
      <c r="F101" s="20">
        <v>428</v>
      </c>
      <c r="G101" s="31">
        <v>8.0310000000000006</v>
      </c>
      <c r="H101" s="31">
        <v>8.7690000000000001</v>
      </c>
      <c r="I101" s="31">
        <v>10.143000000000001</v>
      </c>
      <c r="J101" s="31"/>
      <c r="K101" s="31"/>
      <c r="L101" s="31">
        <v>98.545000000000002</v>
      </c>
      <c r="M101" s="31">
        <v>99.003299999999996</v>
      </c>
      <c r="N101" s="31">
        <v>99.100700000000003</v>
      </c>
      <c r="O101" s="31"/>
      <c r="P101" s="31"/>
      <c r="Q101" s="31">
        <v>2451.1999999999998</v>
      </c>
      <c r="R101" s="31">
        <v>2341.4266000000002</v>
      </c>
      <c r="S101" s="31">
        <v>2277.154</v>
      </c>
      <c r="T101" s="31"/>
      <c r="U101" s="31"/>
      <c r="V101" s="31">
        <f t="shared" ref="V101:V132" si="23">+Q101*G101*L101/100</f>
        <v>19399.161906240002</v>
      </c>
      <c r="W101" s="31">
        <f t="shared" ref="W101:W132" si="24">+R101*H101*M101/100</f>
        <v>20327.327711851231</v>
      </c>
      <c r="X101" s="31">
        <f t="shared" ref="X101:X132" si="25">+S101*I101*N101/100</f>
        <v>22889.460145013156</v>
      </c>
      <c r="Y101" s="31"/>
      <c r="Z101" s="31"/>
      <c r="AA101" s="2">
        <v>0.94400002000000005</v>
      </c>
      <c r="AB101" s="2">
        <v>0.97400002000000008</v>
      </c>
      <c r="AC101" s="2">
        <v>0.97400002000000008</v>
      </c>
      <c r="AD101">
        <f t="shared" ref="AD101:AD132" si="26">W101*AB101</f>
        <v>19798.817597889654</v>
      </c>
      <c r="AE101" s="84">
        <f t="shared" ref="AE101:AE132" si="27">X101*(1-AC101)</f>
        <v>595.12550598113739</v>
      </c>
      <c r="AF101" s="2">
        <f t="shared" ref="AF101:AF132" si="28">AVERAGE(AD101:AE101)</f>
        <v>10196.971551935396</v>
      </c>
    </row>
    <row r="102" spans="2:32" hidden="1" x14ac:dyDescent="0.25">
      <c r="B102" s="32" t="s">
        <v>169</v>
      </c>
      <c r="C102" s="21" t="s">
        <v>465</v>
      </c>
      <c r="D102" s="21" t="s">
        <v>361</v>
      </c>
      <c r="E102" s="21"/>
      <c r="F102" s="20">
        <v>422</v>
      </c>
      <c r="G102" s="31">
        <v>22.582000000000001</v>
      </c>
      <c r="H102" s="31">
        <v>17.623999999999999</v>
      </c>
      <c r="I102" s="31">
        <v>15.843999999999999</v>
      </c>
      <c r="J102" s="31"/>
      <c r="K102" s="31"/>
      <c r="L102" s="31">
        <v>97.211299999999994</v>
      </c>
      <c r="M102" s="31">
        <v>97.480099999999993</v>
      </c>
      <c r="N102" s="31">
        <v>97.798100000000005</v>
      </c>
      <c r="O102" s="31"/>
      <c r="P102" s="31"/>
      <c r="Q102" s="31">
        <v>3615.3530000000001</v>
      </c>
      <c r="R102" s="31">
        <v>3899.4074000000001</v>
      </c>
      <c r="S102" s="31">
        <v>4157.4502000000002</v>
      </c>
      <c r="T102" s="31"/>
      <c r="U102" s="31"/>
      <c r="V102" s="31">
        <f t="shared" si="23"/>
        <v>79365.15374037539</v>
      </c>
      <c r="W102" s="31">
        <f t="shared" si="24"/>
        <v>66991.401209112475</v>
      </c>
      <c r="X102" s="31">
        <f t="shared" si="25"/>
        <v>64420.235325307993</v>
      </c>
      <c r="Y102" s="31"/>
      <c r="Z102" s="31"/>
      <c r="AA102" s="2">
        <v>0.90599998000000004</v>
      </c>
      <c r="AB102" s="2">
        <v>0.77599998000000003</v>
      </c>
      <c r="AC102" s="2">
        <v>0.74</v>
      </c>
      <c r="AD102">
        <f t="shared" si="26"/>
        <v>51985.325998443259</v>
      </c>
      <c r="AE102" s="84">
        <f t="shared" si="27"/>
        <v>16749.261184580078</v>
      </c>
      <c r="AF102" s="2">
        <f t="shared" si="28"/>
        <v>34367.293591511669</v>
      </c>
    </row>
    <row r="103" spans="2:32" hidden="1" x14ac:dyDescent="0.25">
      <c r="B103" s="32" t="s">
        <v>38</v>
      </c>
      <c r="C103" s="21" t="s">
        <v>464</v>
      </c>
      <c r="D103" s="21" t="s">
        <v>356</v>
      </c>
      <c r="E103" s="21"/>
      <c r="F103" s="20">
        <v>426</v>
      </c>
      <c r="G103" s="31">
        <v>33.954999999999998</v>
      </c>
      <c r="H103" s="31">
        <v>31.213999999999999</v>
      </c>
      <c r="I103" s="31">
        <v>29.111999999999998</v>
      </c>
      <c r="J103" s="31">
        <v>27.1</v>
      </c>
      <c r="K103" s="31">
        <v>25.6</v>
      </c>
      <c r="L103" s="31">
        <v>92.596400000000003</v>
      </c>
      <c r="M103" s="31">
        <v>92.108400000000003</v>
      </c>
      <c r="N103" s="31">
        <v>93.040700000000001</v>
      </c>
      <c r="O103" s="31">
        <f>100-6.21</f>
        <v>93.79</v>
      </c>
      <c r="P103" s="31">
        <f>100-5.42</f>
        <v>94.58</v>
      </c>
      <c r="Q103" s="31">
        <v>1791.453</v>
      </c>
      <c r="R103" s="31">
        <v>1934.9248</v>
      </c>
      <c r="S103" s="31">
        <v>2031.3606000000002</v>
      </c>
      <c r="T103" s="31">
        <v>2286</v>
      </c>
      <c r="U103" s="31">
        <v>2395</v>
      </c>
      <c r="V103" s="31">
        <f t="shared" si="23"/>
        <v>56325.266569171858</v>
      </c>
      <c r="W103" s="31">
        <f t="shared" si="24"/>
        <v>55630.473359718599</v>
      </c>
      <c r="X103" s="31">
        <f t="shared" si="25"/>
        <v>55021.450648799393</v>
      </c>
      <c r="Y103" s="31">
        <f>J103*T103*(O103/100)</f>
        <v>58103.467740000007</v>
      </c>
      <c r="Z103" s="31">
        <f>K103*U103*(P103/100)</f>
        <v>57988.889599999995</v>
      </c>
      <c r="AA103" s="84">
        <v>0.87599998000000001</v>
      </c>
      <c r="AB103" s="84">
        <v>0.84800003000000002</v>
      </c>
      <c r="AC103" s="84">
        <v>0.84599997999999998</v>
      </c>
      <c r="AD103">
        <f t="shared" si="26"/>
        <v>47174.643077955574</v>
      </c>
      <c r="AE103" s="84">
        <f t="shared" si="27"/>
        <v>8473.3045003441202</v>
      </c>
      <c r="AF103" s="2">
        <f t="shared" si="28"/>
        <v>27823.973789149848</v>
      </c>
    </row>
    <row r="104" spans="2:32" hidden="1" x14ac:dyDescent="0.25">
      <c r="B104" s="32" t="s">
        <v>85</v>
      </c>
      <c r="C104" s="21" t="s">
        <v>463</v>
      </c>
      <c r="D104" s="21" t="s">
        <v>353</v>
      </c>
      <c r="E104" s="21"/>
      <c r="F104" s="20">
        <v>430</v>
      </c>
      <c r="G104" s="31">
        <v>43.642000000000003</v>
      </c>
      <c r="H104" s="31">
        <v>41.069000000000003</v>
      </c>
      <c r="I104" s="31">
        <v>38.555999999999997</v>
      </c>
      <c r="J104" s="31">
        <v>37.6</v>
      </c>
      <c r="K104" s="31">
        <v>35</v>
      </c>
      <c r="L104" s="31">
        <v>88.184100000000001</v>
      </c>
      <c r="M104" s="31">
        <v>89.683300000000003</v>
      </c>
      <c r="N104" s="31">
        <v>90.498000000000005</v>
      </c>
      <c r="O104" s="31">
        <f>100-7.69</f>
        <v>92.31</v>
      </c>
      <c r="P104" s="31">
        <f>100-6.82</f>
        <v>93.18</v>
      </c>
      <c r="Q104" s="31">
        <v>2262.5806000000002</v>
      </c>
      <c r="R104" s="31">
        <v>3040.2583999999997</v>
      </c>
      <c r="S104" s="31">
        <v>3636.1812</v>
      </c>
      <c r="T104" s="31">
        <v>4558</v>
      </c>
      <c r="U104" s="31">
        <v>5166</v>
      </c>
      <c r="V104" s="31">
        <f t="shared" si="23"/>
        <v>87076.104301601721</v>
      </c>
      <c r="W104" s="31">
        <f t="shared" si="24"/>
        <v>111978.90220778884</v>
      </c>
      <c r="X104" s="31">
        <f t="shared" si="25"/>
        <v>126875.12119216904</v>
      </c>
      <c r="Y104" s="31">
        <f>J104*T104*(O104/100)</f>
        <v>158201.61648000003</v>
      </c>
      <c r="Z104" s="31">
        <f>K104*U104*(P104/100)</f>
        <v>168478.758</v>
      </c>
      <c r="AA104" s="84">
        <v>0.5</v>
      </c>
      <c r="AB104" s="84">
        <v>0.38599998000000002</v>
      </c>
      <c r="AC104" s="84">
        <v>0.61599998</v>
      </c>
      <c r="AD104">
        <f t="shared" si="26"/>
        <v>43223.85401262845</v>
      </c>
      <c r="AE104" s="84">
        <f t="shared" si="27"/>
        <v>48720.049075295334</v>
      </c>
      <c r="AF104" s="2">
        <f t="shared" si="28"/>
        <v>45971.951543961892</v>
      </c>
    </row>
    <row r="105" spans="2:32" hidden="1" x14ac:dyDescent="0.25">
      <c r="B105" s="32" t="s">
        <v>168</v>
      </c>
      <c r="C105" s="21" t="s">
        <v>462</v>
      </c>
      <c r="D105" s="21" t="s">
        <v>361</v>
      </c>
      <c r="E105" s="21"/>
      <c r="F105" s="20">
        <v>434</v>
      </c>
      <c r="G105" s="31">
        <v>23.76</v>
      </c>
      <c r="H105" s="31">
        <v>24.030999999999999</v>
      </c>
      <c r="I105" s="31">
        <v>23.414999999999999</v>
      </c>
      <c r="J105" s="31"/>
      <c r="K105" s="31"/>
      <c r="L105" s="31">
        <v>97.621499999999997</v>
      </c>
      <c r="M105" s="31">
        <v>97.914900000000003</v>
      </c>
      <c r="N105" s="31">
        <v>98.196200000000005</v>
      </c>
      <c r="O105" s="31"/>
      <c r="P105" s="31"/>
      <c r="Q105" s="31">
        <v>5033.9935999999998</v>
      </c>
      <c r="R105" s="31">
        <v>5571.9578000000001</v>
      </c>
      <c r="S105" s="31">
        <v>6170.1935999999996</v>
      </c>
      <c r="T105" s="31"/>
      <c r="U105" s="31"/>
      <c r="V105" s="31">
        <f t="shared" si="23"/>
        <v>116762.81907844223</v>
      </c>
      <c r="W105" s="31">
        <f t="shared" si="24"/>
        <v>131107.77487403806</v>
      </c>
      <c r="X105" s="31">
        <f t="shared" si="25"/>
        <v>141869.0415942485</v>
      </c>
      <c r="Y105" s="31"/>
      <c r="Z105" s="31"/>
      <c r="AA105" s="2">
        <v>0.95199997000000003</v>
      </c>
      <c r="AB105" s="2">
        <v>0.94599997999999996</v>
      </c>
      <c r="AC105" s="2">
        <v>0.98</v>
      </c>
      <c r="AD105">
        <f t="shared" si="26"/>
        <v>124027.9524086845</v>
      </c>
      <c r="AE105" s="84">
        <f t="shared" si="27"/>
        <v>2837.3808318849724</v>
      </c>
      <c r="AF105" s="2">
        <f t="shared" si="28"/>
        <v>63432.666620284741</v>
      </c>
    </row>
    <row r="106" spans="2:32" hidden="1" x14ac:dyDescent="0.25">
      <c r="B106" s="32" t="s">
        <v>167</v>
      </c>
      <c r="C106" s="21" t="s">
        <v>461</v>
      </c>
      <c r="D106" s="21" t="s">
        <v>361</v>
      </c>
      <c r="E106" s="21"/>
      <c r="F106" s="20">
        <v>440</v>
      </c>
      <c r="G106" s="31">
        <v>10.597</v>
      </c>
      <c r="H106" s="31">
        <v>9.0820000000000007</v>
      </c>
      <c r="I106" s="31">
        <v>9.468</v>
      </c>
      <c r="J106" s="31"/>
      <c r="K106" s="31"/>
      <c r="L106" s="31">
        <v>98.992199999999997</v>
      </c>
      <c r="M106" s="31">
        <v>99.231999999999999</v>
      </c>
      <c r="N106" s="31">
        <v>99.109399999999994</v>
      </c>
      <c r="O106" s="31"/>
      <c r="P106" s="31"/>
      <c r="Q106" s="31">
        <v>3580.6</v>
      </c>
      <c r="R106" s="31">
        <v>3467.9482000000003</v>
      </c>
      <c r="S106" s="31">
        <v>3376.3330000000001</v>
      </c>
      <c r="T106" s="31"/>
      <c r="U106" s="31"/>
      <c r="V106" s="31">
        <f t="shared" si="23"/>
        <v>37561.222415780394</v>
      </c>
      <c r="W106" s="31">
        <f t="shared" si="24"/>
        <v>31254.016997757572</v>
      </c>
      <c r="X106" s="31">
        <f t="shared" si="25"/>
        <v>31682.421665763333</v>
      </c>
      <c r="Y106" s="31"/>
      <c r="Z106" s="31"/>
      <c r="AA106" s="2">
        <v>0.91400002000000002</v>
      </c>
      <c r="AB106" s="2">
        <v>0.94400002000000005</v>
      </c>
      <c r="AC106" s="2">
        <v>0.95400002000000006</v>
      </c>
      <c r="AD106">
        <f t="shared" si="26"/>
        <v>29503.792670963488</v>
      </c>
      <c r="AE106" s="84">
        <f t="shared" si="27"/>
        <v>1457.3907629766782</v>
      </c>
      <c r="AF106" s="2">
        <f t="shared" si="28"/>
        <v>15480.591716970084</v>
      </c>
    </row>
    <row r="107" spans="2:32" x14ac:dyDescent="0.25">
      <c r="B107" s="32" t="s">
        <v>166</v>
      </c>
      <c r="C107" s="21" t="s">
        <v>460</v>
      </c>
      <c r="D107" s="21" t="s">
        <v>366</v>
      </c>
      <c r="E107" s="21"/>
      <c r="F107" s="20">
        <v>442</v>
      </c>
      <c r="G107" s="31">
        <v>13.086</v>
      </c>
      <c r="H107" s="31">
        <v>11.878</v>
      </c>
      <c r="I107" s="31">
        <v>11.388999999999999</v>
      </c>
      <c r="J107" s="31"/>
      <c r="K107" s="31"/>
      <c r="L107" s="31">
        <v>99.494699999999995</v>
      </c>
      <c r="M107" s="31">
        <v>99.533500000000004</v>
      </c>
      <c r="N107" s="31">
        <v>99.576700000000002</v>
      </c>
      <c r="O107" s="31"/>
      <c r="P107" s="31"/>
      <c r="Q107" s="31">
        <v>419.495</v>
      </c>
      <c r="R107" s="31">
        <v>446.745</v>
      </c>
      <c r="S107" s="31">
        <v>480.85840000000002</v>
      </c>
      <c r="T107" s="31"/>
      <c r="U107" s="31"/>
      <c r="V107" s="31">
        <f t="shared" si="23"/>
        <v>5461.7730680367895</v>
      </c>
      <c r="W107" s="31">
        <f t="shared" si="24"/>
        <v>5281.6825808818503</v>
      </c>
      <c r="X107" s="31">
        <f t="shared" si="25"/>
        <v>5453.3143086875998</v>
      </c>
      <c r="Y107" s="31"/>
      <c r="Z107" s="31"/>
      <c r="AA107" s="2">
        <v>0.97800003000000002</v>
      </c>
      <c r="AB107" s="2">
        <v>0.98199996999999994</v>
      </c>
      <c r="AC107" s="2">
        <v>0.99</v>
      </c>
      <c r="AD107">
        <f t="shared" si="26"/>
        <v>5186.6121359754989</v>
      </c>
      <c r="AE107" s="84">
        <f t="shared" si="27"/>
        <v>54.533143086876045</v>
      </c>
      <c r="AF107" s="2">
        <f t="shared" si="28"/>
        <v>2620.5726395311876</v>
      </c>
    </row>
    <row r="108" spans="2:32" hidden="1" x14ac:dyDescent="0.25">
      <c r="B108" s="32" t="s">
        <v>84</v>
      </c>
      <c r="C108" s="21" t="s">
        <v>459</v>
      </c>
      <c r="D108" s="21" t="s">
        <v>353</v>
      </c>
      <c r="E108" s="21"/>
      <c r="F108" s="20">
        <v>450</v>
      </c>
      <c r="G108" s="31">
        <v>42.837000000000003</v>
      </c>
      <c r="H108" s="31">
        <v>39.261000000000003</v>
      </c>
      <c r="I108" s="31">
        <v>36.191000000000003</v>
      </c>
      <c r="J108" s="31">
        <v>34.6</v>
      </c>
      <c r="K108" s="31">
        <v>33.200000000000003</v>
      </c>
      <c r="L108" s="31">
        <v>91.555800000000005</v>
      </c>
      <c r="M108" s="31">
        <v>92.533199999999994</v>
      </c>
      <c r="N108" s="31">
        <v>93.480199999999996</v>
      </c>
      <c r="O108" s="31">
        <f>100-4.1</f>
        <v>95.9</v>
      </c>
      <c r="P108" s="31">
        <f>100-3.51</f>
        <v>96.49</v>
      </c>
      <c r="Q108" s="31">
        <v>13963.763000000001</v>
      </c>
      <c r="R108" s="31">
        <v>16196.544</v>
      </c>
      <c r="S108" s="31">
        <v>18612.007000000001</v>
      </c>
      <c r="T108" s="31">
        <v>23853</v>
      </c>
      <c r="U108" s="31">
        <v>27366</v>
      </c>
      <c r="V108" s="31">
        <f t="shared" si="23"/>
        <v>547655.40627168724</v>
      </c>
      <c r="W108" s="31">
        <f t="shared" si="24"/>
        <v>588411.69174984272</v>
      </c>
      <c r="X108" s="31">
        <f t="shared" si="25"/>
        <v>629670.61063531833</v>
      </c>
      <c r="Y108" s="31">
        <f>J108*T108*(O108/100)</f>
        <v>791475.93420000013</v>
      </c>
      <c r="Z108" s="31">
        <f>K108*U108*(P108/100)</f>
        <v>876661.05288000009</v>
      </c>
      <c r="AA108" s="84">
        <v>0.52400002000000001</v>
      </c>
      <c r="AB108" s="84">
        <v>0.62400001999999999</v>
      </c>
      <c r="AC108" s="84">
        <v>0.80800003000000009</v>
      </c>
      <c r="AD108">
        <f t="shared" si="26"/>
        <v>367168.90742013569</v>
      </c>
      <c r="AE108" s="84">
        <f t="shared" si="27"/>
        <v>120896.73835186275</v>
      </c>
      <c r="AF108" s="2">
        <f t="shared" si="28"/>
        <v>244032.82288599922</v>
      </c>
    </row>
    <row r="109" spans="2:32" hidden="1" x14ac:dyDescent="0.25">
      <c r="B109" s="32" t="s">
        <v>83</v>
      </c>
      <c r="C109" s="21" t="s">
        <v>458</v>
      </c>
      <c r="D109" s="21" t="s">
        <v>353</v>
      </c>
      <c r="E109" s="21"/>
      <c r="F109" s="20">
        <v>454</v>
      </c>
      <c r="G109" s="31">
        <v>47.031999999999996</v>
      </c>
      <c r="H109" s="31">
        <v>43.718000000000004</v>
      </c>
      <c r="I109" s="31">
        <v>40.454999999999998</v>
      </c>
      <c r="J109" s="31">
        <v>44.5</v>
      </c>
      <c r="K109" s="31">
        <v>44</v>
      </c>
      <c r="L109" s="31">
        <v>88.891400000000004</v>
      </c>
      <c r="M109" s="31">
        <v>90.360799999999998</v>
      </c>
      <c r="N109" s="31">
        <v>91.636899999999997</v>
      </c>
      <c r="O109" s="31">
        <f>100-8.61</f>
        <v>91.39</v>
      </c>
      <c r="P109" s="31">
        <f>100-7.82</f>
        <v>92.18</v>
      </c>
      <c r="Q109" s="31">
        <v>10756.044</v>
      </c>
      <c r="R109" s="31">
        <v>12553.379000000001</v>
      </c>
      <c r="S109" s="31">
        <v>14449.217000000001</v>
      </c>
      <c r="T109" s="31">
        <v>17523</v>
      </c>
      <c r="U109" s="31">
        <v>20677</v>
      </c>
      <c r="V109" s="31">
        <f t="shared" si="23"/>
        <v>449682.26886123093</v>
      </c>
      <c r="W109" s="31">
        <f t="shared" si="24"/>
        <v>495907.86232202424</v>
      </c>
      <c r="X109" s="31">
        <f t="shared" si="25"/>
        <v>535657.1519354682</v>
      </c>
      <c r="Y109" s="31">
        <f>J109*T109*(O109/100)</f>
        <v>712635.00164999999</v>
      </c>
      <c r="Z109" s="31">
        <f>K109*U109*(P109/100)</f>
        <v>838642.57840000011</v>
      </c>
      <c r="AA109" s="84">
        <v>0.91</v>
      </c>
      <c r="AB109" s="84">
        <v>0.80400002000000004</v>
      </c>
      <c r="AC109" s="84">
        <v>0.92599998000000006</v>
      </c>
      <c r="AD109">
        <f t="shared" si="26"/>
        <v>398709.93122506473</v>
      </c>
      <c r="AE109" s="84">
        <f t="shared" si="27"/>
        <v>39638.639956367653</v>
      </c>
      <c r="AF109" s="2">
        <f t="shared" si="28"/>
        <v>219174.2855907162</v>
      </c>
    </row>
    <row r="110" spans="2:32" hidden="1" x14ac:dyDescent="0.25">
      <c r="B110" s="32" t="s">
        <v>165</v>
      </c>
      <c r="C110" s="21" t="s">
        <v>457</v>
      </c>
      <c r="D110" s="21" t="s">
        <v>361</v>
      </c>
      <c r="E110" s="21"/>
      <c r="F110" s="20">
        <v>458</v>
      </c>
      <c r="G110" s="31">
        <v>24.548999999999999</v>
      </c>
      <c r="H110" s="31">
        <v>22.584</v>
      </c>
      <c r="I110" s="31">
        <v>20.533999999999999</v>
      </c>
      <c r="J110" s="31"/>
      <c r="K110" s="31"/>
      <c r="L110" s="31">
        <v>98.838800000000006</v>
      </c>
      <c r="M110" s="31">
        <v>98.991900000000001</v>
      </c>
      <c r="N110" s="31">
        <v>99.108999999999995</v>
      </c>
      <c r="O110" s="31"/>
      <c r="P110" s="31"/>
      <c r="Q110" s="31">
        <v>21671.905999999999</v>
      </c>
      <c r="R110" s="31">
        <v>24236.68</v>
      </c>
      <c r="S110" s="31">
        <v>26553.19</v>
      </c>
      <c r="T110" s="31"/>
      <c r="U110" s="31"/>
      <c r="V110" s="31">
        <f t="shared" si="23"/>
        <v>525845.76211398491</v>
      </c>
      <c r="W110" s="31">
        <f t="shared" si="24"/>
        <v>541843.23305312928</v>
      </c>
      <c r="X110" s="31">
        <f t="shared" si="25"/>
        <v>540385.08651717135</v>
      </c>
      <c r="Y110" s="31"/>
      <c r="Z110" s="31"/>
      <c r="AA110" s="2">
        <v>0.94000000000000006</v>
      </c>
      <c r="AB110" s="2">
        <v>0.96199997000000004</v>
      </c>
      <c r="AC110" s="2">
        <v>0.93199997000000001</v>
      </c>
      <c r="AD110">
        <f t="shared" si="26"/>
        <v>521253.17394181341</v>
      </c>
      <c r="AE110" s="84">
        <f t="shared" si="27"/>
        <v>36746.20209472024</v>
      </c>
      <c r="AF110" s="2">
        <f t="shared" si="28"/>
        <v>278999.68801826681</v>
      </c>
    </row>
    <row r="111" spans="2:32" hidden="1" x14ac:dyDescent="0.25">
      <c r="B111" s="32" t="s">
        <v>37</v>
      </c>
      <c r="C111" s="21" t="s">
        <v>456</v>
      </c>
      <c r="D111" s="21" t="s">
        <v>361</v>
      </c>
      <c r="E111" s="21"/>
      <c r="F111" s="20">
        <v>462</v>
      </c>
      <c r="G111" s="31">
        <v>25.582999999999998</v>
      </c>
      <c r="H111" s="31">
        <v>19.451000000000001</v>
      </c>
      <c r="I111" s="31">
        <v>18.82</v>
      </c>
      <c r="J111" s="31">
        <v>16.5</v>
      </c>
      <c r="K111" s="31">
        <v>14.8</v>
      </c>
      <c r="L111" s="31">
        <v>94.664100000000005</v>
      </c>
      <c r="M111" s="31">
        <v>96.555700000000002</v>
      </c>
      <c r="N111" s="31">
        <v>97.599500000000006</v>
      </c>
      <c r="O111" s="31">
        <f>100-0.81</f>
        <v>99.19</v>
      </c>
      <c r="P111" s="31">
        <f>100-0.7</f>
        <v>99.3</v>
      </c>
      <c r="Q111" s="31">
        <v>258.1918</v>
      </c>
      <c r="R111" s="31">
        <v>280.40479999999997</v>
      </c>
      <c r="S111" s="31">
        <v>300.81799999999998</v>
      </c>
      <c r="T111" s="31">
        <v>337</v>
      </c>
      <c r="U111" s="31">
        <v>356</v>
      </c>
      <c r="V111" s="31">
        <f t="shared" si="23"/>
        <v>6252.8675057976352</v>
      </c>
      <c r="W111" s="31">
        <f t="shared" si="24"/>
        <v>5266.2963466789934</v>
      </c>
      <c r="X111" s="31">
        <f t="shared" si="25"/>
        <v>5525.4929787862011</v>
      </c>
      <c r="Y111" s="31">
        <f>J111*T111*(O111/100)</f>
        <v>5515.4599500000004</v>
      </c>
      <c r="Z111" s="31">
        <f>K111*U111*(P111/100)</f>
        <v>5231.9184000000005</v>
      </c>
      <c r="AA111" s="84">
        <v>0.96599997999999998</v>
      </c>
      <c r="AB111" s="84">
        <v>0.97599997999999999</v>
      </c>
      <c r="AC111" s="84">
        <v>0.98</v>
      </c>
      <c r="AD111">
        <f t="shared" si="26"/>
        <v>5139.9051290327707</v>
      </c>
      <c r="AE111" s="84">
        <f t="shared" si="27"/>
        <v>110.50985957572412</v>
      </c>
      <c r="AF111" s="2">
        <f t="shared" si="28"/>
        <v>2625.2074943042476</v>
      </c>
    </row>
    <row r="112" spans="2:32" hidden="1" x14ac:dyDescent="0.25">
      <c r="B112" s="32" t="s">
        <v>82</v>
      </c>
      <c r="C112" s="21" t="s">
        <v>455</v>
      </c>
      <c r="D112" s="21" t="s">
        <v>353</v>
      </c>
      <c r="E112" s="21"/>
      <c r="F112" s="20">
        <v>466</v>
      </c>
      <c r="G112" s="31">
        <v>44.125999999999998</v>
      </c>
      <c r="H112" s="31">
        <v>43.283000000000001</v>
      </c>
      <c r="I112" s="31">
        <v>42.79</v>
      </c>
      <c r="J112" s="31">
        <v>45</v>
      </c>
      <c r="K112" s="31">
        <v>42.5</v>
      </c>
      <c r="L112" s="31">
        <v>87.935199999999995</v>
      </c>
      <c r="M112" s="31">
        <v>88.668199999999999</v>
      </c>
      <c r="N112" s="31">
        <v>89.370900000000006</v>
      </c>
      <c r="O112" s="31">
        <f>100-9.22</f>
        <v>90.78</v>
      </c>
      <c r="P112" s="31">
        <f>100-8.39</f>
        <v>91.61</v>
      </c>
      <c r="Q112" s="31">
        <v>9920.9153999999999</v>
      </c>
      <c r="R112" s="31">
        <v>11024.357</v>
      </c>
      <c r="S112" s="31">
        <v>12415.144</v>
      </c>
      <c r="T112" s="31">
        <v>17819</v>
      </c>
      <c r="U112" s="31">
        <v>20537</v>
      </c>
      <c r="V112" s="31">
        <f t="shared" si="23"/>
        <v>384954.20022476657</v>
      </c>
      <c r="W112" s="31">
        <f t="shared" si="24"/>
        <v>423095.60627189517</v>
      </c>
      <c r="X112" s="31">
        <f t="shared" si="25"/>
        <v>474777.55450601788</v>
      </c>
      <c r="Y112" s="31">
        <f>J112*T112*(O112/100)</f>
        <v>727923.96900000004</v>
      </c>
      <c r="Z112" s="31">
        <f>K112*U112*(P112/100)</f>
        <v>799592.69225000008</v>
      </c>
      <c r="AA112" s="84">
        <v>0.49799999</v>
      </c>
      <c r="AB112" s="84">
        <v>0.57000000000000006</v>
      </c>
      <c r="AC112" s="84">
        <v>0.75199996999999996</v>
      </c>
      <c r="AD112">
        <f t="shared" si="26"/>
        <v>241164.49557498028</v>
      </c>
      <c r="AE112" s="84">
        <f t="shared" si="27"/>
        <v>117744.84776081909</v>
      </c>
      <c r="AF112" s="2">
        <f t="shared" si="28"/>
        <v>179454.67166789967</v>
      </c>
    </row>
    <row r="113" spans="2:32" x14ac:dyDescent="0.25">
      <c r="B113" s="32" t="s">
        <v>164</v>
      </c>
      <c r="C113" s="21" t="s">
        <v>454</v>
      </c>
      <c r="D113" s="21" t="s">
        <v>366</v>
      </c>
      <c r="E113" s="21"/>
      <c r="F113" s="20">
        <v>470</v>
      </c>
      <c r="G113" s="31">
        <v>12.275</v>
      </c>
      <c r="H113" s="31">
        <v>9.9629999999999992</v>
      </c>
      <c r="I113" s="31">
        <v>9.0399999999999991</v>
      </c>
      <c r="J113" s="31"/>
      <c r="K113" s="31"/>
      <c r="L113" s="31">
        <v>99.218800000000002</v>
      </c>
      <c r="M113" s="31">
        <v>99.31</v>
      </c>
      <c r="N113" s="31">
        <v>99.367400000000004</v>
      </c>
      <c r="O113" s="31"/>
      <c r="P113" s="31"/>
      <c r="Q113" s="31">
        <v>382.8</v>
      </c>
      <c r="R113" s="31">
        <v>395.77</v>
      </c>
      <c r="S113" s="31">
        <v>409.17579999999998</v>
      </c>
      <c r="T113" s="31"/>
      <c r="U113" s="31"/>
      <c r="V113" s="31">
        <f t="shared" si="23"/>
        <v>4662.1624275600007</v>
      </c>
      <c r="W113" s="31">
        <f t="shared" si="24"/>
        <v>3915.8494200809992</v>
      </c>
      <c r="X113" s="31">
        <f t="shared" si="25"/>
        <v>3675.5496791583678</v>
      </c>
      <c r="Y113" s="31"/>
      <c r="Z113" s="31"/>
      <c r="AA113" s="2">
        <v>0.92199997</v>
      </c>
      <c r="AB113" s="2">
        <v>0.93400002000000004</v>
      </c>
      <c r="AC113" s="2">
        <v>0.79199997</v>
      </c>
      <c r="AD113">
        <f t="shared" si="26"/>
        <v>3657.4034366726419</v>
      </c>
      <c r="AE113" s="84">
        <f t="shared" si="27"/>
        <v>764.51444353143086</v>
      </c>
      <c r="AF113" s="2">
        <f t="shared" si="28"/>
        <v>2210.9589401020362</v>
      </c>
    </row>
    <row r="114" spans="2:32" hidden="1" x14ac:dyDescent="0.25">
      <c r="B114" s="32" t="s">
        <v>453</v>
      </c>
      <c r="C114" s="21" t="s">
        <v>452</v>
      </c>
      <c r="D114" s="21"/>
      <c r="E114" s="21"/>
      <c r="F114" s="20">
        <v>474</v>
      </c>
      <c r="G114" s="31">
        <v>15.19</v>
      </c>
      <c r="H114" s="31">
        <v>14.38</v>
      </c>
      <c r="I114" s="31">
        <v>12.643000000000001</v>
      </c>
      <c r="J114" s="31">
        <v>11.6</v>
      </c>
      <c r="K114" s="31">
        <v>10.9</v>
      </c>
      <c r="L114" s="31">
        <v>99.204499999999996</v>
      </c>
      <c r="M114" s="31">
        <v>99.299199999999999</v>
      </c>
      <c r="N114" s="31">
        <v>99.340100000000007</v>
      </c>
      <c r="O114" s="31"/>
      <c r="P114" s="31"/>
      <c r="Q114" s="31"/>
      <c r="R114" s="31"/>
      <c r="S114" s="31"/>
      <c r="T114" s="31"/>
      <c r="U114" s="31"/>
      <c r="V114" s="31">
        <f t="shared" si="23"/>
        <v>0</v>
      </c>
      <c r="W114" s="31">
        <f t="shared" si="24"/>
        <v>0</v>
      </c>
      <c r="X114" s="31">
        <f t="shared" si="25"/>
        <v>0</v>
      </c>
      <c r="Y114" s="31">
        <f>J114*T114*(O114/100)</f>
        <v>0</v>
      </c>
      <c r="Z114" s="31">
        <f>K114*U114*(P114/100)</f>
        <v>0</v>
      </c>
      <c r="AA114" s="84">
        <v>0</v>
      </c>
      <c r="AB114" s="84">
        <v>0</v>
      </c>
      <c r="AC114" s="84">
        <v>0</v>
      </c>
      <c r="AD114">
        <f t="shared" si="26"/>
        <v>0</v>
      </c>
      <c r="AE114" s="84">
        <f t="shared" si="27"/>
        <v>0</v>
      </c>
      <c r="AF114" s="2">
        <f t="shared" si="28"/>
        <v>0</v>
      </c>
    </row>
    <row r="115" spans="2:32" hidden="1" x14ac:dyDescent="0.25">
      <c r="B115" s="32" t="s">
        <v>81</v>
      </c>
      <c r="C115" s="21" t="s">
        <v>451</v>
      </c>
      <c r="D115" s="21" t="s">
        <v>356</v>
      </c>
      <c r="E115" s="21"/>
      <c r="F115" s="20">
        <v>478</v>
      </c>
      <c r="G115" s="31">
        <v>37.405999999999999</v>
      </c>
      <c r="H115" s="31">
        <v>35.758000000000003</v>
      </c>
      <c r="I115" s="31">
        <v>33.798000000000002</v>
      </c>
      <c r="J115" s="31">
        <v>32.700000000000003</v>
      </c>
      <c r="K115" s="31">
        <v>30.6</v>
      </c>
      <c r="L115" s="31">
        <v>92.685699999999997</v>
      </c>
      <c r="M115" s="31">
        <v>92.734200000000001</v>
      </c>
      <c r="N115" s="31">
        <v>92.727999999999994</v>
      </c>
      <c r="O115" s="31">
        <f>100-6.99</f>
        <v>93.01</v>
      </c>
      <c r="P115" s="31">
        <f>100-6.37</f>
        <v>93.63</v>
      </c>
      <c r="Q115" s="31">
        <v>2398.8022000000001</v>
      </c>
      <c r="R115" s="31">
        <v>2754.4254000000001</v>
      </c>
      <c r="S115" s="31">
        <v>3138.4204</v>
      </c>
      <c r="T115" s="31">
        <v>3869</v>
      </c>
      <c r="U115" s="31">
        <v>4298</v>
      </c>
      <c r="V115" s="31">
        <f t="shared" si="23"/>
        <v>83166.503319298063</v>
      </c>
      <c r="W115" s="31">
        <f t="shared" si="24"/>
        <v>91336.45769937741</v>
      </c>
      <c r="X115" s="31">
        <f t="shared" si="25"/>
        <v>98358.752646768582</v>
      </c>
      <c r="Y115" s="31">
        <f>J115*T115*(O115/100)</f>
        <v>117672.81063000002</v>
      </c>
      <c r="Z115" s="31">
        <f>K115*U115*(P115/100)</f>
        <v>123141.05244</v>
      </c>
      <c r="AA115" s="84">
        <v>0.36200000999999998</v>
      </c>
      <c r="AB115" s="84">
        <v>0.70800003</v>
      </c>
      <c r="AC115" s="84">
        <v>0.70400002000000006</v>
      </c>
      <c r="AD115">
        <f t="shared" si="26"/>
        <v>64666.21479125294</v>
      </c>
      <c r="AE115" s="84">
        <f t="shared" si="27"/>
        <v>29114.188816268441</v>
      </c>
      <c r="AF115" s="2">
        <f t="shared" si="28"/>
        <v>46890.20180376069</v>
      </c>
    </row>
    <row r="116" spans="2:32" hidden="1" x14ac:dyDescent="0.25">
      <c r="B116" s="32" t="s">
        <v>163</v>
      </c>
      <c r="C116" s="21" t="s">
        <v>450</v>
      </c>
      <c r="D116" s="21" t="s">
        <v>361</v>
      </c>
      <c r="E116" s="21">
        <v>2</v>
      </c>
      <c r="F116" s="20">
        <v>480</v>
      </c>
      <c r="G116" s="31">
        <v>18.152000000000001</v>
      </c>
      <c r="H116" s="31">
        <v>15.978</v>
      </c>
      <c r="I116" s="31">
        <v>14.112</v>
      </c>
      <c r="J116" s="31"/>
      <c r="K116" s="31"/>
      <c r="L116" s="31">
        <v>98.214600000000004</v>
      </c>
      <c r="M116" s="31">
        <v>98.476799999999997</v>
      </c>
      <c r="N116" s="31">
        <v>98.542599999999993</v>
      </c>
      <c r="O116" s="31"/>
      <c r="P116" s="31"/>
      <c r="Q116" s="31">
        <v>1148.085</v>
      </c>
      <c r="R116" s="31">
        <v>1210.6293999999998</v>
      </c>
      <c r="S116" s="31">
        <v>1260.2218</v>
      </c>
      <c r="T116" s="31"/>
      <c r="U116" s="31"/>
      <c r="V116" s="31">
        <f t="shared" si="23"/>
        <v>20467.960865122324</v>
      </c>
      <c r="W116" s="31">
        <f t="shared" si="24"/>
        <v>19048.797327621654</v>
      </c>
      <c r="X116" s="31">
        <f t="shared" si="25"/>
        <v>17525.062381493721</v>
      </c>
      <c r="Y116" s="31"/>
      <c r="Z116" s="31"/>
      <c r="AA116" s="2">
        <v>0.89199996999999998</v>
      </c>
      <c r="AB116" s="2">
        <v>0.91599998000000005</v>
      </c>
      <c r="AC116" s="2">
        <v>0.97800003000000002</v>
      </c>
      <c r="AD116">
        <f t="shared" si="26"/>
        <v>17448.69797112549</v>
      </c>
      <c r="AE116" s="84">
        <f t="shared" si="27"/>
        <v>385.55084664099007</v>
      </c>
      <c r="AF116" s="2">
        <f t="shared" si="28"/>
        <v>8917.1244088832391</v>
      </c>
    </row>
    <row r="117" spans="2:32" hidden="1" x14ac:dyDescent="0.25">
      <c r="B117" s="32" t="s">
        <v>319</v>
      </c>
      <c r="C117" s="18" t="s">
        <v>449</v>
      </c>
      <c r="D117" s="21" t="s">
        <v>361</v>
      </c>
      <c r="E117" s="21"/>
      <c r="F117" s="20">
        <v>175</v>
      </c>
      <c r="G117" s="31">
        <v>37.365000000000002</v>
      </c>
      <c r="H117" s="31">
        <v>30.542999999999999</v>
      </c>
      <c r="I117" s="31">
        <v>25.390999999999998</v>
      </c>
      <c r="J117" s="31"/>
      <c r="K117" s="31"/>
      <c r="L117" s="31">
        <v>99.219899999999996</v>
      </c>
      <c r="M117" s="31">
        <v>99.265799999999999</v>
      </c>
      <c r="N117" s="31">
        <v>99.312100000000001</v>
      </c>
      <c r="O117" s="31"/>
      <c r="P117" s="31"/>
      <c r="Q117" s="31"/>
      <c r="R117" s="31"/>
      <c r="S117" s="31"/>
      <c r="T117" s="31"/>
      <c r="U117" s="31"/>
      <c r="V117" s="31">
        <f t="shared" si="23"/>
        <v>0</v>
      </c>
      <c r="W117" s="31">
        <f t="shared" si="24"/>
        <v>0</v>
      </c>
      <c r="X117" s="31">
        <f t="shared" si="25"/>
        <v>0</v>
      </c>
      <c r="Y117" s="31"/>
      <c r="Z117" s="31"/>
      <c r="AA117" s="2">
        <v>0</v>
      </c>
      <c r="AB117" s="2">
        <v>0</v>
      </c>
      <c r="AC117" s="2">
        <v>0</v>
      </c>
      <c r="AD117">
        <f t="shared" si="26"/>
        <v>0</v>
      </c>
      <c r="AE117" s="84">
        <f t="shared" si="27"/>
        <v>0</v>
      </c>
      <c r="AF117" s="2">
        <f t="shared" si="28"/>
        <v>0</v>
      </c>
    </row>
    <row r="118" spans="2:32" hidden="1" x14ac:dyDescent="0.25">
      <c r="B118" s="32" t="s">
        <v>162</v>
      </c>
      <c r="C118" s="21" t="s">
        <v>448</v>
      </c>
      <c r="D118" s="21" t="s">
        <v>361</v>
      </c>
      <c r="E118" s="21"/>
      <c r="F118" s="20">
        <v>484</v>
      </c>
      <c r="G118" s="31">
        <v>23.747</v>
      </c>
      <c r="H118" s="31">
        <v>21.327999999999999</v>
      </c>
      <c r="I118" s="31">
        <v>19.091000000000001</v>
      </c>
      <c r="J118" s="31"/>
      <c r="K118" s="31"/>
      <c r="L118" s="31">
        <v>97.230800000000002</v>
      </c>
      <c r="M118" s="31">
        <v>97.949799999999996</v>
      </c>
      <c r="N118" s="31">
        <v>98.334599999999995</v>
      </c>
      <c r="O118" s="31"/>
      <c r="P118" s="31"/>
      <c r="Q118" s="31">
        <v>93895.52</v>
      </c>
      <c r="R118" s="31">
        <v>100000</v>
      </c>
      <c r="S118" s="31">
        <v>105300</v>
      </c>
      <c r="T118" s="31"/>
      <c r="U118" s="31"/>
      <c r="V118" s="31">
        <f t="shared" si="23"/>
        <v>2167991.0388330198</v>
      </c>
      <c r="W118" s="31">
        <f t="shared" si="24"/>
        <v>2089073.3344000001</v>
      </c>
      <c r="X118" s="31">
        <f t="shared" si="25"/>
        <v>1976803.0585758002</v>
      </c>
      <c r="Y118" s="31"/>
      <c r="Z118" s="31"/>
      <c r="AA118" s="2">
        <v>0.94599997999999996</v>
      </c>
      <c r="AB118" s="2">
        <v>0.97400002000000008</v>
      </c>
      <c r="AC118" s="2">
        <v>0.95800003</v>
      </c>
      <c r="AD118">
        <f t="shared" si="26"/>
        <v>2034757.4694870668</v>
      </c>
      <c r="AE118" s="84">
        <f t="shared" si="27"/>
        <v>83025.669156091841</v>
      </c>
      <c r="AF118" s="2">
        <f t="shared" si="28"/>
        <v>1058891.5693215793</v>
      </c>
    </row>
    <row r="119" spans="2:32" hidden="1" x14ac:dyDescent="0.25">
      <c r="B119" s="32" t="s">
        <v>447</v>
      </c>
      <c r="C119" s="18" t="s">
        <v>446</v>
      </c>
      <c r="D119" s="21" t="s">
        <v>356</v>
      </c>
      <c r="E119" s="21"/>
      <c r="F119" s="20">
        <v>583</v>
      </c>
      <c r="G119" s="31">
        <v>31.477</v>
      </c>
      <c r="H119" s="31">
        <v>28.545000000000002</v>
      </c>
      <c r="I119" s="31">
        <v>25.486999999999998</v>
      </c>
      <c r="J119" s="31">
        <v>24.2</v>
      </c>
      <c r="K119" s="31">
        <v>23.4</v>
      </c>
      <c r="L119" s="31">
        <v>96.000600000000006</v>
      </c>
      <c r="M119" s="31">
        <v>96.21</v>
      </c>
      <c r="N119" s="31">
        <v>96.595699999999994</v>
      </c>
      <c r="O119" s="31">
        <f>100-3.14</f>
        <v>96.86</v>
      </c>
      <c r="P119" s="31">
        <f>100-2.84</f>
        <v>97.16</v>
      </c>
      <c r="Q119" s="31">
        <v>107.581</v>
      </c>
      <c r="R119" s="31">
        <v>107.8656</v>
      </c>
      <c r="S119" s="31">
        <v>110.0962</v>
      </c>
      <c r="T119" s="31">
        <v>114</v>
      </c>
      <c r="U119" s="31">
        <v>119</v>
      </c>
      <c r="V119" s="31">
        <f t="shared" si="23"/>
        <v>3250.8943694828222</v>
      </c>
      <c r="W119" s="31">
        <f t="shared" si="24"/>
        <v>2962.3285593791998</v>
      </c>
      <c r="X119" s="31">
        <f t="shared" si="25"/>
        <v>2710.4964475808752</v>
      </c>
      <c r="Y119" s="31">
        <f t="shared" ref="Y119:Z124" si="29">J119*T119*(O119/100)</f>
        <v>2672.1736799999999</v>
      </c>
      <c r="Z119" s="31">
        <f t="shared" si="29"/>
        <v>2705.5173599999998</v>
      </c>
      <c r="AA119" s="84">
        <v>0.78599998000000004</v>
      </c>
      <c r="AB119" s="84">
        <v>0.82800003000000011</v>
      </c>
      <c r="AC119" s="84">
        <v>0.83199997000000003</v>
      </c>
      <c r="AD119">
        <f t="shared" si="26"/>
        <v>2452.8081360358347</v>
      </c>
      <c r="AE119" s="84">
        <f t="shared" si="27"/>
        <v>455.36348450848038</v>
      </c>
      <c r="AF119" s="2">
        <f t="shared" si="28"/>
        <v>1454.0858102721575</v>
      </c>
    </row>
    <row r="120" spans="2:32" hidden="1" x14ac:dyDescent="0.25">
      <c r="B120" s="32" t="s">
        <v>33</v>
      </c>
      <c r="C120" s="21" t="s">
        <v>445</v>
      </c>
      <c r="D120" s="21" t="s">
        <v>356</v>
      </c>
      <c r="E120" s="21"/>
      <c r="F120" s="20">
        <v>496</v>
      </c>
      <c r="G120" s="31">
        <v>21.7</v>
      </c>
      <c r="H120" s="31">
        <v>18.414999999999999</v>
      </c>
      <c r="I120" s="31">
        <v>18.954999999999998</v>
      </c>
      <c r="J120" s="31">
        <v>22.7</v>
      </c>
      <c r="K120" s="31">
        <v>20.9</v>
      </c>
      <c r="L120" s="31">
        <v>95.131600000000006</v>
      </c>
      <c r="M120" s="31">
        <v>95.265299999999996</v>
      </c>
      <c r="N120" s="31">
        <v>95.793800000000005</v>
      </c>
      <c r="O120" s="31">
        <f>100-3.07</f>
        <v>96.93</v>
      </c>
      <c r="P120" s="31">
        <f>100-2.65</f>
        <v>97.35</v>
      </c>
      <c r="Q120" s="31">
        <v>2310.5852</v>
      </c>
      <c r="R120" s="31">
        <v>2452.4177999999997</v>
      </c>
      <c r="S120" s="31">
        <v>2610.9022</v>
      </c>
      <c r="T120" s="31">
        <v>2975</v>
      </c>
      <c r="U120" s="31">
        <v>3186</v>
      </c>
      <c r="V120" s="31">
        <f t="shared" si="23"/>
        <v>47698.697741673437</v>
      </c>
      <c r="W120" s="31">
        <f t="shared" si="24"/>
        <v>43023.022957006899</v>
      </c>
      <c r="X120" s="31">
        <f t="shared" si="25"/>
        <v>47408.017492183528</v>
      </c>
      <c r="Y120" s="31">
        <f t="shared" si="29"/>
        <v>65459.252250000005</v>
      </c>
      <c r="Z120" s="31">
        <f t="shared" si="29"/>
        <v>64822.833899999991</v>
      </c>
      <c r="AA120" s="84">
        <v>0.91599998000000005</v>
      </c>
      <c r="AB120" s="84">
        <v>0.97</v>
      </c>
      <c r="AC120" s="84">
        <v>0.96800003000000001</v>
      </c>
      <c r="AD120">
        <f t="shared" si="26"/>
        <v>41732.33226829669</v>
      </c>
      <c r="AE120" s="84">
        <f t="shared" si="27"/>
        <v>1517.0551375093476</v>
      </c>
      <c r="AF120" s="2">
        <f t="shared" si="28"/>
        <v>21624.69370290302</v>
      </c>
    </row>
    <row r="121" spans="2:32" hidden="1" x14ac:dyDescent="0.25">
      <c r="B121" s="32" t="s">
        <v>159</v>
      </c>
      <c r="C121" s="21" t="s">
        <v>444</v>
      </c>
      <c r="D121" s="21" t="s">
        <v>361</v>
      </c>
      <c r="E121" s="21"/>
      <c r="F121" s="20">
        <v>499</v>
      </c>
      <c r="G121" s="31">
        <v>13.52</v>
      </c>
      <c r="H121" s="31">
        <v>13.045999999999999</v>
      </c>
      <c r="I121" s="31">
        <v>12.076000000000001</v>
      </c>
      <c r="J121" s="31">
        <v>12</v>
      </c>
      <c r="K121" s="31">
        <v>11.2</v>
      </c>
      <c r="L121" s="31">
        <v>98.419399999999996</v>
      </c>
      <c r="M121" s="31">
        <v>98.843100000000007</v>
      </c>
      <c r="N121" s="31">
        <v>99.129000000000005</v>
      </c>
      <c r="O121" s="31"/>
      <c r="P121" s="31"/>
      <c r="Q121" s="31"/>
      <c r="R121" s="31"/>
      <c r="S121" s="31"/>
      <c r="T121" s="31"/>
      <c r="U121" s="31"/>
      <c r="V121" s="31">
        <f t="shared" si="23"/>
        <v>0</v>
      </c>
      <c r="W121" s="31">
        <f t="shared" si="24"/>
        <v>0</v>
      </c>
      <c r="X121" s="31">
        <f t="shared" si="25"/>
        <v>0</v>
      </c>
      <c r="Y121" s="31">
        <f t="shared" si="29"/>
        <v>0</v>
      </c>
      <c r="Z121" s="31">
        <f t="shared" si="29"/>
        <v>0</v>
      </c>
      <c r="AA121" s="84">
        <v>0</v>
      </c>
      <c r="AB121" s="84">
        <v>0</v>
      </c>
      <c r="AC121" s="84">
        <v>0</v>
      </c>
      <c r="AD121">
        <f t="shared" si="26"/>
        <v>0</v>
      </c>
      <c r="AE121" s="84">
        <f t="shared" si="27"/>
        <v>0</v>
      </c>
      <c r="AF121" s="2">
        <f t="shared" si="28"/>
        <v>0</v>
      </c>
    </row>
    <row r="122" spans="2:32" hidden="1" x14ac:dyDescent="0.25">
      <c r="B122" s="32" t="s">
        <v>32</v>
      </c>
      <c r="C122" s="21" t="s">
        <v>443</v>
      </c>
      <c r="D122" s="21" t="s">
        <v>356</v>
      </c>
      <c r="E122" s="21"/>
      <c r="F122" s="20">
        <v>504</v>
      </c>
      <c r="G122" s="31">
        <v>23.422999999999998</v>
      </c>
      <c r="H122" s="31">
        <v>20.905000000000001</v>
      </c>
      <c r="I122" s="31">
        <v>20.536000000000001</v>
      </c>
      <c r="J122" s="31">
        <v>18.7</v>
      </c>
      <c r="K122" s="31">
        <v>17.2</v>
      </c>
      <c r="L122" s="31">
        <v>95.304000000000002</v>
      </c>
      <c r="M122" s="31">
        <v>96.253200000000007</v>
      </c>
      <c r="N122" s="31">
        <v>96.940200000000004</v>
      </c>
      <c r="O122" s="31">
        <f>100-2.85</f>
        <v>97.15</v>
      </c>
      <c r="P122" s="31">
        <f>100-2.46</f>
        <v>97.54</v>
      </c>
      <c r="Q122" s="31">
        <v>27722.618999999999</v>
      </c>
      <c r="R122" s="31">
        <v>29492.305</v>
      </c>
      <c r="S122" s="31">
        <v>31234.061000000002</v>
      </c>
      <c r="T122" s="31">
        <v>33570</v>
      </c>
      <c r="U122" s="31">
        <v>35078</v>
      </c>
      <c r="V122" s="31">
        <f t="shared" si="23"/>
        <v>618853.57418585441</v>
      </c>
      <c r="W122" s="31">
        <f t="shared" si="24"/>
        <v>593436.24134641537</v>
      </c>
      <c r="X122" s="31">
        <f t="shared" si="25"/>
        <v>621796.42563445587</v>
      </c>
      <c r="Y122" s="31">
        <f t="shared" si="29"/>
        <v>609867.86849999998</v>
      </c>
      <c r="Z122" s="31">
        <f t="shared" si="29"/>
        <v>588499.39664000005</v>
      </c>
      <c r="AA122" s="84">
        <v>0.92599998000000006</v>
      </c>
      <c r="AB122" s="84">
        <v>0.94599997999999996</v>
      </c>
      <c r="AC122" s="84">
        <v>0.97599997999999999</v>
      </c>
      <c r="AD122">
        <f t="shared" si="26"/>
        <v>561390.67244498408</v>
      </c>
      <c r="AE122" s="84">
        <f t="shared" si="27"/>
        <v>14923.12665115546</v>
      </c>
      <c r="AF122" s="2">
        <f t="shared" si="28"/>
        <v>288156.89954806975</v>
      </c>
    </row>
    <row r="123" spans="2:32" hidden="1" x14ac:dyDescent="0.25">
      <c r="B123" s="32" t="s">
        <v>80</v>
      </c>
      <c r="C123" s="21" t="s">
        <v>442</v>
      </c>
      <c r="D123" s="21" t="s">
        <v>353</v>
      </c>
      <c r="E123" s="21"/>
      <c r="F123" s="20">
        <v>508</v>
      </c>
      <c r="G123" s="31">
        <v>43.494999999999997</v>
      </c>
      <c r="H123" s="31">
        <v>43.548000000000002</v>
      </c>
      <c r="I123" s="31">
        <v>39.509</v>
      </c>
      <c r="J123" s="31">
        <v>36.299999999999997</v>
      </c>
      <c r="K123" s="31">
        <v>34.299999999999997</v>
      </c>
      <c r="L123" s="31">
        <v>88.548500000000004</v>
      </c>
      <c r="M123" s="31">
        <v>89.718599999999995</v>
      </c>
      <c r="N123" s="31">
        <v>90.993200000000002</v>
      </c>
      <c r="O123" s="31">
        <f>100-7.79</f>
        <v>92.21</v>
      </c>
      <c r="P123" s="31">
        <f>100-6.79</f>
        <v>93.21</v>
      </c>
      <c r="Q123" s="31">
        <v>16874.343000000001</v>
      </c>
      <c r="R123" s="31">
        <v>19269.876</v>
      </c>
      <c r="S123" s="31">
        <v>21866.807000000001</v>
      </c>
      <c r="T123" s="31">
        <v>26192</v>
      </c>
      <c r="U123" s="31">
        <v>29177</v>
      </c>
      <c r="V123" s="31">
        <f t="shared" si="23"/>
        <v>649901.31620588573</v>
      </c>
      <c r="W123" s="31">
        <f t="shared" si="24"/>
        <v>752886.69497122499</v>
      </c>
      <c r="X123" s="31">
        <f t="shared" si="25"/>
        <v>786122.71913824219</v>
      </c>
      <c r="Y123" s="31">
        <f t="shared" si="29"/>
        <v>876704.64815999987</v>
      </c>
      <c r="Z123" s="31">
        <f t="shared" si="29"/>
        <v>932818.74230999977</v>
      </c>
      <c r="AA123" s="84">
        <v>0.62400001999999999</v>
      </c>
      <c r="AB123" s="84">
        <v>0.74199996999999995</v>
      </c>
      <c r="AC123" s="84">
        <v>0.76</v>
      </c>
      <c r="AD123">
        <f t="shared" si="26"/>
        <v>558641.90508204803</v>
      </c>
      <c r="AE123" s="84">
        <f t="shared" si="27"/>
        <v>188669.45259317811</v>
      </c>
      <c r="AF123" s="2">
        <f t="shared" si="28"/>
        <v>373655.67883761309</v>
      </c>
    </row>
    <row r="124" spans="2:32" hidden="1" x14ac:dyDescent="0.25">
      <c r="B124" s="32" t="s">
        <v>79</v>
      </c>
      <c r="C124" s="21" t="s">
        <v>441</v>
      </c>
      <c r="D124" s="21" t="s">
        <v>353</v>
      </c>
      <c r="E124" s="21"/>
      <c r="F124" s="20">
        <v>104</v>
      </c>
      <c r="G124" s="31">
        <v>22.219000000000001</v>
      </c>
      <c r="H124" s="31">
        <v>21.5</v>
      </c>
      <c r="I124" s="31">
        <v>20.651</v>
      </c>
      <c r="J124" s="31">
        <v>16.7</v>
      </c>
      <c r="K124" s="31">
        <v>15.4</v>
      </c>
      <c r="L124" s="31">
        <v>91.885800000000003</v>
      </c>
      <c r="M124" s="31">
        <v>92.1738</v>
      </c>
      <c r="N124" s="31">
        <v>92.468299999999999</v>
      </c>
      <c r="O124" s="31">
        <f>100-4.48</f>
        <v>95.52</v>
      </c>
      <c r="P124" s="31">
        <f>100-3.69</f>
        <v>96.31</v>
      </c>
      <c r="Q124" s="31">
        <v>45023.192999999999</v>
      </c>
      <c r="R124" s="31">
        <v>47333.517999999996</v>
      </c>
      <c r="S124" s="31">
        <v>49156.197</v>
      </c>
      <c r="T124" s="31">
        <v>49902</v>
      </c>
      <c r="U124" s="31">
        <v>51688</v>
      </c>
      <c r="V124" s="31">
        <f t="shared" si="23"/>
        <v>919198.27633418515</v>
      </c>
      <c r="W124" s="31">
        <f t="shared" si="24"/>
        <v>938025.69760710583</v>
      </c>
      <c r="X124" s="31">
        <f t="shared" si="25"/>
        <v>938668.48292258871</v>
      </c>
      <c r="Y124" s="31">
        <f t="shared" si="29"/>
        <v>796028.71967999986</v>
      </c>
      <c r="Z124" s="31">
        <f t="shared" si="29"/>
        <v>766622.97712000017</v>
      </c>
      <c r="AA124" s="84">
        <v>0.85400001999999997</v>
      </c>
      <c r="AB124" s="84">
        <v>0.78800003000000007</v>
      </c>
      <c r="AC124" s="84">
        <v>0.83199997000000003</v>
      </c>
      <c r="AD124">
        <f t="shared" si="26"/>
        <v>739164.27785517043</v>
      </c>
      <c r="AE124" s="84">
        <f t="shared" si="27"/>
        <v>157696.33329104935</v>
      </c>
      <c r="AF124" s="2">
        <f t="shared" si="28"/>
        <v>448430.30557310989</v>
      </c>
    </row>
    <row r="125" spans="2:32" hidden="1" x14ac:dyDescent="0.25">
      <c r="B125" s="32" t="s">
        <v>158</v>
      </c>
      <c r="C125" s="21" t="s">
        <v>440</v>
      </c>
      <c r="D125" s="21" t="s">
        <v>361</v>
      </c>
      <c r="E125" s="21"/>
      <c r="F125" s="20">
        <v>516</v>
      </c>
      <c r="G125" s="31">
        <v>32.670999999999999</v>
      </c>
      <c r="H125" s="31">
        <v>29.952999999999999</v>
      </c>
      <c r="I125" s="31">
        <v>27.8</v>
      </c>
      <c r="J125" s="31"/>
      <c r="K125" s="31"/>
      <c r="L125" s="31">
        <v>94.619699999999995</v>
      </c>
      <c r="M125" s="31">
        <v>95.058899999999994</v>
      </c>
      <c r="N125" s="31">
        <v>96.501000000000005</v>
      </c>
      <c r="O125" s="31"/>
      <c r="P125" s="31"/>
      <c r="Q125" s="31">
        <v>1702.2633999999998</v>
      </c>
      <c r="R125" s="31">
        <v>1898.0298</v>
      </c>
      <c r="S125" s="31">
        <v>2089.3888000000002</v>
      </c>
      <c r="T125" s="31"/>
      <c r="U125" s="31"/>
      <c r="V125" s="31">
        <f t="shared" si="23"/>
        <v>52622.412659730042</v>
      </c>
      <c r="W125" s="31">
        <f t="shared" si="24"/>
        <v>54042.587912837043</v>
      </c>
      <c r="X125" s="31">
        <f t="shared" si="25"/>
        <v>56052.614187686406</v>
      </c>
      <c r="Y125" s="31"/>
      <c r="Z125" s="31"/>
      <c r="AA125" s="2">
        <v>0.71199996999999993</v>
      </c>
      <c r="AB125" s="2">
        <v>0.78800003000000007</v>
      </c>
      <c r="AC125" s="2">
        <v>0.84800003000000002</v>
      </c>
      <c r="AD125">
        <f t="shared" si="26"/>
        <v>42585.560896593233</v>
      </c>
      <c r="AE125" s="84">
        <f t="shared" si="27"/>
        <v>8519.995674949907</v>
      </c>
      <c r="AF125" s="2">
        <f t="shared" si="28"/>
        <v>25552.778285771572</v>
      </c>
    </row>
    <row r="126" spans="2:32" hidden="1" x14ac:dyDescent="0.25">
      <c r="B126" s="32" t="s">
        <v>78</v>
      </c>
      <c r="C126" s="21" t="s">
        <v>439</v>
      </c>
      <c r="D126" s="21" t="s">
        <v>353</v>
      </c>
      <c r="E126" s="21"/>
      <c r="F126" s="20">
        <v>524</v>
      </c>
      <c r="G126" s="31">
        <v>34.878999999999998</v>
      </c>
      <c r="H126" s="31">
        <v>30.05</v>
      </c>
      <c r="I126" s="31">
        <v>25.611000000000001</v>
      </c>
      <c r="J126" s="31">
        <v>23.2</v>
      </c>
      <c r="K126" s="31">
        <v>21.4</v>
      </c>
      <c r="L126" s="31">
        <v>92.796899999999994</v>
      </c>
      <c r="M126" s="31">
        <v>94.534499999999994</v>
      </c>
      <c r="N126" s="31">
        <v>95.782499999999999</v>
      </c>
      <c r="O126" s="31">
        <f>100-3.2</f>
        <v>96.8</v>
      </c>
      <c r="P126" s="31">
        <f>100-2.65</f>
        <v>97.35</v>
      </c>
      <c r="Q126" s="31">
        <v>22736.216</v>
      </c>
      <c r="R126" s="31">
        <v>25558.27</v>
      </c>
      <c r="S126" s="31">
        <v>28281.315999999999</v>
      </c>
      <c r="T126" s="31">
        <v>32581</v>
      </c>
      <c r="U126" s="31">
        <v>35164</v>
      </c>
      <c r="V126" s="31">
        <f t="shared" si="23"/>
        <v>735894.70794697816</v>
      </c>
      <c r="W126" s="31">
        <f t="shared" si="24"/>
        <v>726049.55173215747</v>
      </c>
      <c r="X126" s="31">
        <f t="shared" si="25"/>
        <v>693764.8924075946</v>
      </c>
      <c r="Y126" s="31">
        <f>J126*T126*(O126/100)</f>
        <v>731691.06559999997</v>
      </c>
      <c r="Z126" s="31">
        <f>K126*U126*(P126/100)</f>
        <v>732568.09559999988</v>
      </c>
      <c r="AA126" s="84">
        <v>0.66599998000000005</v>
      </c>
      <c r="AB126" s="84">
        <v>0.76400002</v>
      </c>
      <c r="AC126" s="84">
        <v>0.82000000000000006</v>
      </c>
      <c r="AD126">
        <f t="shared" si="26"/>
        <v>554701.87204435933</v>
      </c>
      <c r="AE126" s="84">
        <f t="shared" si="27"/>
        <v>124877.68063336698</v>
      </c>
      <c r="AF126" s="2">
        <f t="shared" si="28"/>
        <v>339789.77633886319</v>
      </c>
    </row>
    <row r="127" spans="2:32" x14ac:dyDescent="0.25">
      <c r="B127" s="32" t="s">
        <v>156</v>
      </c>
      <c r="C127" s="21" t="s">
        <v>438</v>
      </c>
      <c r="D127" s="21" t="s">
        <v>366</v>
      </c>
      <c r="E127" s="21"/>
      <c r="F127" s="20">
        <v>528</v>
      </c>
      <c r="G127" s="31">
        <v>12.433</v>
      </c>
      <c r="H127" s="31">
        <v>12.361000000000001</v>
      </c>
      <c r="I127" s="31">
        <v>11.259</v>
      </c>
      <c r="J127" s="31"/>
      <c r="K127" s="31"/>
      <c r="L127" s="31">
        <v>99.471599999999995</v>
      </c>
      <c r="M127" s="31">
        <v>99.514700000000005</v>
      </c>
      <c r="N127" s="31">
        <v>99.550200000000004</v>
      </c>
      <c r="O127" s="31"/>
      <c r="P127" s="31"/>
      <c r="Q127" s="31">
        <v>15617.4</v>
      </c>
      <c r="R127" s="31">
        <v>16125.483</v>
      </c>
      <c r="S127" s="31">
        <v>16404.906999999999</v>
      </c>
      <c r="T127" s="31"/>
      <c r="U127" s="31"/>
      <c r="V127" s="31">
        <f t="shared" si="23"/>
        <v>193145.13392688718</v>
      </c>
      <c r="W127" s="31">
        <f t="shared" si="24"/>
        <v>198359.76096920337</v>
      </c>
      <c r="X127" s="31">
        <f t="shared" si="25"/>
        <v>183872.05450308733</v>
      </c>
      <c r="Y127" s="31"/>
      <c r="Z127" s="31"/>
      <c r="AA127" s="2">
        <v>0.97</v>
      </c>
      <c r="AB127" s="2">
        <v>0.97</v>
      </c>
      <c r="AC127" s="2">
        <v>0.96800003000000001</v>
      </c>
      <c r="AD127">
        <f t="shared" si="26"/>
        <v>192408.96814012725</v>
      </c>
      <c r="AE127" s="84">
        <f t="shared" si="27"/>
        <v>5883.9002279371571</v>
      </c>
      <c r="AF127" s="2">
        <f t="shared" si="28"/>
        <v>99146.434184032201</v>
      </c>
    </row>
    <row r="128" spans="2:32" hidden="1" x14ac:dyDescent="0.25">
      <c r="B128" s="32" t="s">
        <v>437</v>
      </c>
      <c r="C128" s="21" t="s">
        <v>436</v>
      </c>
      <c r="D128" s="21"/>
      <c r="E128" s="21"/>
      <c r="F128" s="20">
        <v>530</v>
      </c>
      <c r="G128" s="31">
        <v>16.34</v>
      </c>
      <c r="H128" s="31">
        <v>14.763999999999999</v>
      </c>
      <c r="I128" s="31">
        <v>13.401</v>
      </c>
      <c r="J128" s="31"/>
      <c r="K128" s="31"/>
      <c r="L128" s="31">
        <v>98.451700000000002</v>
      </c>
      <c r="M128" s="31">
        <v>98.602900000000005</v>
      </c>
      <c r="N128" s="31">
        <v>98.725099999999998</v>
      </c>
      <c r="O128" s="31"/>
      <c r="P128" s="31"/>
      <c r="Q128" s="31"/>
      <c r="R128" s="31"/>
      <c r="S128" s="31"/>
      <c r="T128" s="31"/>
      <c r="U128" s="31"/>
      <c r="V128" s="31">
        <f t="shared" si="23"/>
        <v>0</v>
      </c>
      <c r="W128" s="31">
        <f t="shared" si="24"/>
        <v>0</v>
      </c>
      <c r="X128" s="31">
        <f t="shared" si="25"/>
        <v>0</v>
      </c>
      <c r="Y128" s="31">
        <f>J128*T128*(O128/100)</f>
        <v>0</v>
      </c>
      <c r="Z128" s="31">
        <f>K128*U128*(P128/100)</f>
        <v>0</v>
      </c>
      <c r="AA128" s="84">
        <v>0</v>
      </c>
      <c r="AB128" s="84">
        <v>0</v>
      </c>
      <c r="AC128" s="84">
        <v>0</v>
      </c>
      <c r="AD128">
        <f t="shared" si="26"/>
        <v>0</v>
      </c>
      <c r="AE128" s="84">
        <f t="shared" si="27"/>
        <v>0</v>
      </c>
      <c r="AF128" s="2">
        <f t="shared" si="28"/>
        <v>0</v>
      </c>
    </row>
    <row r="129" spans="2:32" hidden="1" x14ac:dyDescent="0.25">
      <c r="B129" s="32" t="s">
        <v>435</v>
      </c>
      <c r="C129" s="21" t="s">
        <v>434</v>
      </c>
      <c r="D129" s="21"/>
      <c r="E129" s="21"/>
      <c r="F129" s="20">
        <v>540</v>
      </c>
      <c r="G129" s="31">
        <v>21.747</v>
      </c>
      <c r="H129" s="31">
        <v>18.385999999999999</v>
      </c>
      <c r="I129" s="31">
        <v>16.477</v>
      </c>
      <c r="J129" s="31"/>
      <c r="K129" s="31"/>
      <c r="L129" s="31">
        <v>99.169700000000006</v>
      </c>
      <c r="M129" s="31">
        <v>99.335999999999999</v>
      </c>
      <c r="N129" s="31">
        <v>99.386200000000002</v>
      </c>
      <c r="O129" s="31"/>
      <c r="P129" s="31"/>
      <c r="Q129" s="31"/>
      <c r="R129" s="31"/>
      <c r="S129" s="31"/>
      <c r="T129" s="31"/>
      <c r="U129" s="31"/>
      <c r="V129" s="31">
        <f t="shared" si="23"/>
        <v>0</v>
      </c>
      <c r="W129" s="31">
        <f t="shared" si="24"/>
        <v>0</v>
      </c>
      <c r="X129" s="31">
        <f t="shared" si="25"/>
        <v>0</v>
      </c>
      <c r="Y129" s="31">
        <f>J129*T129*(O129/100)</f>
        <v>0</v>
      </c>
      <c r="Z129" s="31">
        <f>K129*U129*(P129/100)</f>
        <v>0</v>
      </c>
      <c r="AA129" s="84">
        <v>0</v>
      </c>
      <c r="AB129" s="84">
        <v>0</v>
      </c>
      <c r="AC129" s="84">
        <v>0</v>
      </c>
      <c r="AD129">
        <f t="shared" si="26"/>
        <v>0</v>
      </c>
      <c r="AE129" s="84">
        <f t="shared" si="27"/>
        <v>0</v>
      </c>
      <c r="AF129" s="2">
        <f t="shared" si="28"/>
        <v>0</v>
      </c>
    </row>
    <row r="130" spans="2:32" x14ac:dyDescent="0.25">
      <c r="B130" s="32" t="s">
        <v>155</v>
      </c>
      <c r="C130" s="21" t="s">
        <v>433</v>
      </c>
      <c r="D130" s="21" t="s">
        <v>366</v>
      </c>
      <c r="E130" s="21"/>
      <c r="F130" s="20">
        <v>554</v>
      </c>
      <c r="G130" s="31">
        <v>14.955</v>
      </c>
      <c r="H130" s="31">
        <v>14.074</v>
      </c>
      <c r="I130" s="31">
        <v>13.831</v>
      </c>
      <c r="J130" s="31"/>
      <c r="K130" s="31"/>
      <c r="L130" s="31">
        <v>99.356700000000004</v>
      </c>
      <c r="M130" s="31">
        <v>99.505399999999995</v>
      </c>
      <c r="N130" s="31">
        <v>99.544600000000003</v>
      </c>
      <c r="O130" s="31"/>
      <c r="P130" s="31"/>
      <c r="Q130" s="31">
        <v>3767.38</v>
      </c>
      <c r="R130" s="31">
        <v>3960.3</v>
      </c>
      <c r="S130" s="31">
        <v>4226.3</v>
      </c>
      <c r="T130" s="31"/>
      <c r="U130" s="31"/>
      <c r="V130" s="31">
        <f t="shared" si="23"/>
        <v>55978.725166899298</v>
      </c>
      <c r="W130" s="31">
        <f t="shared" si="24"/>
        <v>55461.585701158801</v>
      </c>
      <c r="X130" s="31">
        <f t="shared" si="25"/>
        <v>58187.755987563804</v>
      </c>
      <c r="Y130" s="31"/>
      <c r="Z130" s="31"/>
      <c r="AA130" s="2">
        <v>0.86400001999999998</v>
      </c>
      <c r="AB130" s="2">
        <v>0.89599998000000003</v>
      </c>
      <c r="AC130" s="2">
        <v>0.89400002000000001</v>
      </c>
      <c r="AD130">
        <f t="shared" si="26"/>
        <v>49693.579679006572</v>
      </c>
      <c r="AE130" s="84">
        <f t="shared" si="27"/>
        <v>6167.9009709266429</v>
      </c>
      <c r="AF130" s="2">
        <f t="shared" si="28"/>
        <v>27930.740324966609</v>
      </c>
    </row>
    <row r="131" spans="2:32" hidden="1" x14ac:dyDescent="0.25">
      <c r="B131" s="32" t="s">
        <v>31</v>
      </c>
      <c r="C131" s="21" t="s">
        <v>432</v>
      </c>
      <c r="D131" s="21" t="s">
        <v>356</v>
      </c>
      <c r="E131" s="21"/>
      <c r="F131" s="20">
        <v>558</v>
      </c>
      <c r="G131" s="31">
        <v>30.126999999999999</v>
      </c>
      <c r="H131" s="31">
        <v>26.254999999999999</v>
      </c>
      <c r="I131" s="31">
        <v>24.847999999999999</v>
      </c>
      <c r="J131" s="31">
        <v>22.8</v>
      </c>
      <c r="K131" s="31">
        <v>20.6</v>
      </c>
      <c r="L131" s="31">
        <v>96.642899999999997</v>
      </c>
      <c r="M131" s="31">
        <v>97.356700000000004</v>
      </c>
      <c r="N131" s="31">
        <v>97.8506</v>
      </c>
      <c r="O131" s="31">
        <f>100-1.83</f>
        <v>98.17</v>
      </c>
      <c r="P131" s="31">
        <f>100-1.64</f>
        <v>98.36</v>
      </c>
      <c r="Q131" s="31">
        <v>4844.7439999999997</v>
      </c>
      <c r="R131" s="31">
        <v>5246.125</v>
      </c>
      <c r="S131" s="31">
        <v>5597.0222000000003</v>
      </c>
      <c r="T131" s="31">
        <v>6213</v>
      </c>
      <c r="U131" s="31">
        <v>6603</v>
      </c>
      <c r="V131" s="31">
        <f t="shared" si="23"/>
        <v>141057.65981487534</v>
      </c>
      <c r="W131" s="31">
        <f t="shared" si="24"/>
        <v>134096.20944010813</v>
      </c>
      <c r="X131" s="31">
        <f t="shared" si="25"/>
        <v>136085.53371049534</v>
      </c>
      <c r="Y131" s="31">
        <f t="shared" ref="Y131:Z133" si="30">J131*T131*(O131/100)</f>
        <v>139064.08788000001</v>
      </c>
      <c r="Z131" s="31">
        <f t="shared" si="30"/>
        <v>133791.04248000003</v>
      </c>
      <c r="AA131" s="84">
        <v>0.80599998000000006</v>
      </c>
      <c r="AB131" s="84">
        <v>0.83400002000000006</v>
      </c>
      <c r="AC131" s="84">
        <v>0.92199997</v>
      </c>
      <c r="AD131">
        <f t="shared" si="26"/>
        <v>111836.24135497438</v>
      </c>
      <c r="AE131" s="84">
        <f t="shared" si="27"/>
        <v>10614.675711984648</v>
      </c>
      <c r="AF131" s="2">
        <f t="shared" si="28"/>
        <v>61225.458533479512</v>
      </c>
    </row>
    <row r="132" spans="2:32" hidden="1" x14ac:dyDescent="0.25">
      <c r="B132" s="32" t="s">
        <v>77</v>
      </c>
      <c r="C132" s="21" t="s">
        <v>431</v>
      </c>
      <c r="D132" s="21" t="s">
        <v>353</v>
      </c>
      <c r="E132" s="21"/>
      <c r="F132" s="20">
        <v>562</v>
      </c>
      <c r="G132" s="31">
        <v>54.012999999999998</v>
      </c>
      <c r="H132" s="31">
        <v>52.182000000000002</v>
      </c>
      <c r="I132" s="31">
        <v>54.052999999999997</v>
      </c>
      <c r="J132" s="31">
        <v>47.7</v>
      </c>
      <c r="K132" s="31">
        <v>46.4</v>
      </c>
      <c r="L132" s="31">
        <v>87.0214</v>
      </c>
      <c r="M132" s="31">
        <v>89.200599999999994</v>
      </c>
      <c r="N132" s="31">
        <v>91.191900000000004</v>
      </c>
      <c r="O132" s="31">
        <f>100-8.58</f>
        <v>91.42</v>
      </c>
      <c r="P132" s="31">
        <f>100-7.7</f>
        <v>92.3</v>
      </c>
      <c r="Q132" s="31">
        <v>9969.2901999999995</v>
      </c>
      <c r="R132" s="31">
        <v>11815.075000000001</v>
      </c>
      <c r="S132" s="31">
        <v>14167.982</v>
      </c>
      <c r="T132" s="31">
        <v>18500</v>
      </c>
      <c r="U132" s="31">
        <v>22071</v>
      </c>
      <c r="V132" s="31">
        <f t="shared" si="23"/>
        <v>468585.23912027851</v>
      </c>
      <c r="W132" s="31">
        <f t="shared" si="24"/>
        <v>549952.24454126193</v>
      </c>
      <c r="X132" s="31">
        <f t="shared" si="25"/>
        <v>698367.56953753729</v>
      </c>
      <c r="Y132" s="31">
        <f t="shared" si="30"/>
        <v>806735.79</v>
      </c>
      <c r="Z132" s="31">
        <f t="shared" si="30"/>
        <v>945239.13119999995</v>
      </c>
      <c r="AA132" s="84">
        <v>0.26400000000000001</v>
      </c>
      <c r="AB132" s="84">
        <v>0.38599998000000002</v>
      </c>
      <c r="AC132" s="84">
        <v>0.57999999999999996</v>
      </c>
      <c r="AD132">
        <f t="shared" si="26"/>
        <v>212281.55539388221</v>
      </c>
      <c r="AE132" s="84">
        <f t="shared" si="27"/>
        <v>293314.37920576567</v>
      </c>
      <c r="AF132" s="2">
        <f t="shared" si="28"/>
        <v>252797.96729982394</v>
      </c>
    </row>
    <row r="133" spans="2:32" hidden="1" x14ac:dyDescent="0.25">
      <c r="B133" s="32" t="s">
        <v>110</v>
      </c>
      <c r="C133" s="21" t="s">
        <v>430</v>
      </c>
      <c r="D133" s="21" t="s">
        <v>823</v>
      </c>
      <c r="E133" s="21"/>
      <c r="F133" s="20">
        <v>566</v>
      </c>
      <c r="G133" s="31">
        <v>43.462000000000003</v>
      </c>
      <c r="H133" s="31">
        <v>41.784999999999997</v>
      </c>
      <c r="I133" s="31">
        <v>40.134</v>
      </c>
      <c r="J133" s="31">
        <v>39.299999999999997</v>
      </c>
      <c r="K133" s="31">
        <v>37.799999999999997</v>
      </c>
      <c r="L133" s="31">
        <v>87.273899999999998</v>
      </c>
      <c r="M133" s="31">
        <v>88.628299999999996</v>
      </c>
      <c r="N133" s="31">
        <v>89.067700000000002</v>
      </c>
      <c r="O133" s="31">
        <f>100-8.76</f>
        <v>91.24</v>
      </c>
      <c r="P133" s="31">
        <f>100-7.91</f>
        <v>92.09</v>
      </c>
      <c r="Q133" s="31">
        <v>116100</v>
      </c>
      <c r="R133" s="31">
        <v>131100</v>
      </c>
      <c r="S133" s="31">
        <v>147800</v>
      </c>
      <c r="T133" s="31">
        <v>179791</v>
      </c>
      <c r="U133" s="31">
        <v>203869</v>
      </c>
      <c r="V133" s="31">
        <f t="shared" ref="V133:V164" si="31">+Q133*G133*L133/100</f>
        <v>4403787.0587298004</v>
      </c>
      <c r="W133" s="31">
        <f t="shared" ref="W133:W164" si="32">+R133*H133*M133/100</f>
        <v>4855070.2388204997</v>
      </c>
      <c r="X133" s="31">
        <f t="shared" ref="X133:X164" si="33">+S133*I133*N133/100</f>
        <v>5283322.4601204004</v>
      </c>
      <c r="Y133" s="31">
        <f t="shared" si="30"/>
        <v>6446823.4201199999</v>
      </c>
      <c r="Z133" s="31">
        <f t="shared" si="30"/>
        <v>7096683.9673799993</v>
      </c>
      <c r="AA133" s="84">
        <v>0.28799998999999998</v>
      </c>
      <c r="AB133" s="84">
        <v>0.28600000000000003</v>
      </c>
      <c r="AC133" s="84">
        <v>0.40400002000000002</v>
      </c>
      <c r="AD133">
        <f t="shared" ref="AD133:AD164" si="34">W133*AB133</f>
        <v>1388550.0883026631</v>
      </c>
      <c r="AE133" s="84">
        <f t="shared" ref="AE133:AE164" si="35">X133*(1-AC133)</f>
        <v>3148860.0805653092</v>
      </c>
      <c r="AF133" s="2">
        <f t="shared" ref="AF133:AF164" si="36">AVERAGE(AD133:AE133)</f>
        <v>2268705.0844339859</v>
      </c>
    </row>
    <row r="134" spans="2:32" x14ac:dyDescent="0.25">
      <c r="B134" s="32" t="s">
        <v>153</v>
      </c>
      <c r="C134" s="21" t="s">
        <v>429</v>
      </c>
      <c r="D134" s="21" t="s">
        <v>366</v>
      </c>
      <c r="E134" s="21">
        <v>11</v>
      </c>
      <c r="F134" s="20">
        <v>578</v>
      </c>
      <c r="G134" s="31">
        <v>13.378</v>
      </c>
      <c r="H134" s="31">
        <v>12.366</v>
      </c>
      <c r="I134" s="31">
        <v>12.304</v>
      </c>
      <c r="J134" s="31"/>
      <c r="K134" s="31"/>
      <c r="L134" s="31">
        <v>99.599199999999996</v>
      </c>
      <c r="M134" s="31">
        <v>99.624799999999993</v>
      </c>
      <c r="N134" s="31">
        <v>99.654700000000005</v>
      </c>
      <c r="O134" s="31"/>
      <c r="P134" s="31"/>
      <c r="Q134" s="31">
        <v>4407.42</v>
      </c>
      <c r="R134" s="31">
        <v>4539.7700000000004</v>
      </c>
      <c r="S134" s="31">
        <v>4717.6760000000004</v>
      </c>
      <c r="T134" s="31"/>
      <c r="U134" s="31"/>
      <c r="V134" s="31">
        <f t="shared" si="31"/>
        <v>58726.143201241925</v>
      </c>
      <c r="W134" s="31">
        <f t="shared" si="32"/>
        <v>55928.163058083366</v>
      </c>
      <c r="X134" s="31">
        <f t="shared" si="33"/>
        <v>57845.851680154701</v>
      </c>
      <c r="Y134" s="31"/>
      <c r="Z134" s="31"/>
      <c r="AA134" s="2">
        <v>0.9480000300000001</v>
      </c>
      <c r="AB134" s="2">
        <v>0.91599998000000005</v>
      </c>
      <c r="AC134" s="2">
        <v>0.92599998000000006</v>
      </c>
      <c r="AD134">
        <f t="shared" si="34"/>
        <v>51230.196242641105</v>
      </c>
      <c r="AE134" s="84">
        <f t="shared" si="35"/>
        <v>4280.594181248478</v>
      </c>
      <c r="AF134" s="2">
        <f t="shared" si="36"/>
        <v>27755.395211944793</v>
      </c>
    </row>
    <row r="135" spans="2:32" hidden="1" x14ac:dyDescent="0.25">
      <c r="B135" s="32" t="s">
        <v>428</v>
      </c>
      <c r="C135" s="18" t="s">
        <v>427</v>
      </c>
      <c r="D135" s="21"/>
      <c r="E135" s="21"/>
      <c r="F135" s="20">
        <v>275</v>
      </c>
      <c r="G135" s="31">
        <v>41.970999999999997</v>
      </c>
      <c r="H135" s="31">
        <v>39.06</v>
      </c>
      <c r="I135" s="31">
        <v>35.854999999999997</v>
      </c>
      <c r="J135" s="31"/>
      <c r="K135" s="31"/>
      <c r="L135" s="31">
        <v>97.4923</v>
      </c>
      <c r="M135" s="31">
        <v>97.913600000000002</v>
      </c>
      <c r="N135" s="31">
        <v>98.249499999999998</v>
      </c>
      <c r="O135" s="31"/>
      <c r="P135" s="31"/>
      <c r="Q135" s="31">
        <v>0</v>
      </c>
      <c r="R135" s="31">
        <v>0</v>
      </c>
      <c r="S135" s="31">
        <v>0</v>
      </c>
      <c r="T135" s="31"/>
      <c r="U135" s="31"/>
      <c r="V135" s="31">
        <f t="shared" si="31"/>
        <v>0</v>
      </c>
      <c r="W135" s="31">
        <f t="shared" si="32"/>
        <v>0</v>
      </c>
      <c r="X135" s="31">
        <f t="shared" si="33"/>
        <v>0</v>
      </c>
      <c r="Y135" s="31">
        <f>J135*T135*(O135/100)</f>
        <v>0</v>
      </c>
      <c r="Z135" s="31">
        <f>K135*U135*(P135/100)</f>
        <v>0</v>
      </c>
      <c r="AA135" s="84">
        <v>0</v>
      </c>
      <c r="AB135" s="84">
        <v>0</v>
      </c>
      <c r="AC135" s="84">
        <v>0</v>
      </c>
      <c r="AD135">
        <f t="shared" si="34"/>
        <v>0</v>
      </c>
      <c r="AE135" s="84">
        <f t="shared" si="35"/>
        <v>0</v>
      </c>
      <c r="AF135" s="2">
        <f t="shared" si="36"/>
        <v>0</v>
      </c>
    </row>
    <row r="136" spans="2:32" x14ac:dyDescent="0.25">
      <c r="B136" s="32" t="s">
        <v>152</v>
      </c>
      <c r="C136" s="21" t="s">
        <v>426</v>
      </c>
      <c r="D136" s="21" t="s">
        <v>366</v>
      </c>
      <c r="E136" s="21"/>
      <c r="F136" s="20">
        <v>512</v>
      </c>
      <c r="G136" s="31">
        <v>29.396999999999998</v>
      </c>
      <c r="H136" s="31">
        <v>23.952000000000002</v>
      </c>
      <c r="I136" s="31">
        <v>22.058</v>
      </c>
      <c r="J136" s="31"/>
      <c r="K136" s="31"/>
      <c r="L136" s="31">
        <v>98.034300000000002</v>
      </c>
      <c r="M136" s="31">
        <v>98.484099999999998</v>
      </c>
      <c r="N136" s="31">
        <v>98.771900000000002</v>
      </c>
      <c r="O136" s="31"/>
      <c r="P136" s="31"/>
      <c r="Q136" s="31">
        <v>2269.9569999999999</v>
      </c>
      <c r="R136" s="31">
        <v>2485.0659999999998</v>
      </c>
      <c r="S136" s="31">
        <v>2728.9929999999999</v>
      </c>
      <c r="T136" s="31"/>
      <c r="U136" s="31"/>
      <c r="V136" s="31">
        <f t="shared" si="31"/>
        <v>65418.215775013639</v>
      </c>
      <c r="W136" s="31">
        <f t="shared" si="32"/>
        <v>58620.002273687714</v>
      </c>
      <c r="X136" s="31">
        <f t="shared" si="33"/>
        <v>59456.85895101809</v>
      </c>
      <c r="Y136" s="31"/>
      <c r="Z136" s="31"/>
      <c r="AA136" s="2">
        <v>0.99</v>
      </c>
      <c r="AB136" s="2">
        <v>0.99</v>
      </c>
      <c r="AC136" s="2">
        <v>0.98599998</v>
      </c>
      <c r="AD136">
        <f t="shared" si="34"/>
        <v>58033.802250950837</v>
      </c>
      <c r="AE136" s="84">
        <f t="shared" si="35"/>
        <v>832.39721445143243</v>
      </c>
      <c r="AF136" s="2">
        <f t="shared" si="36"/>
        <v>29433.099732701136</v>
      </c>
    </row>
    <row r="137" spans="2:32" hidden="1" x14ac:dyDescent="0.25">
      <c r="B137" s="32" t="s">
        <v>151</v>
      </c>
      <c r="C137" s="21" t="s">
        <v>425</v>
      </c>
      <c r="D137" s="21" t="s">
        <v>823</v>
      </c>
      <c r="E137" s="21"/>
      <c r="F137" s="20">
        <v>586</v>
      </c>
      <c r="G137" s="31">
        <v>34.048999999999999</v>
      </c>
      <c r="H137" s="31">
        <v>31.73</v>
      </c>
      <c r="I137" s="31">
        <v>30.209</v>
      </c>
      <c r="J137" s="31">
        <v>26.3</v>
      </c>
      <c r="K137" s="31">
        <v>24.2</v>
      </c>
      <c r="L137" s="31">
        <v>92.231399999999994</v>
      </c>
      <c r="M137" s="31">
        <v>92.947999999999993</v>
      </c>
      <c r="N137" s="31">
        <v>93.612799999999993</v>
      </c>
      <c r="O137" s="31">
        <f>100-6.57</f>
        <v>93.43</v>
      </c>
      <c r="P137" s="31">
        <f>100-6.14</f>
        <v>93.86</v>
      </c>
      <c r="Q137" s="31">
        <v>128500</v>
      </c>
      <c r="R137" s="31">
        <v>145000</v>
      </c>
      <c r="S137" s="31">
        <v>162700</v>
      </c>
      <c r="T137" s="31">
        <v>189648</v>
      </c>
      <c r="U137" s="31">
        <v>205364</v>
      </c>
      <c r="V137" s="31">
        <f t="shared" si="31"/>
        <v>4035397.2161009996</v>
      </c>
      <c r="W137" s="31">
        <f t="shared" si="32"/>
        <v>4276398.0579999993</v>
      </c>
      <c r="X137" s="31">
        <f t="shared" si="33"/>
        <v>4601073.1453503994</v>
      </c>
      <c r="Y137" s="31">
        <f>J137*T137*(O137/100)</f>
        <v>4660047.72432</v>
      </c>
      <c r="Z137" s="31">
        <f>K137*U137*(P137/100)</f>
        <v>4664662.5396799995</v>
      </c>
      <c r="AA137" s="84">
        <v>0.53799998999999998</v>
      </c>
      <c r="AB137" s="84">
        <v>0.65400002000000002</v>
      </c>
      <c r="AC137" s="84">
        <v>0.80800003000000009</v>
      </c>
      <c r="AD137">
        <f t="shared" si="34"/>
        <v>2796764.4154599607</v>
      </c>
      <c r="AE137" s="84">
        <f t="shared" si="35"/>
        <v>883405.90587508189</v>
      </c>
      <c r="AF137" s="2">
        <f t="shared" si="36"/>
        <v>1840085.1606675214</v>
      </c>
    </row>
    <row r="138" spans="2:32" hidden="1" x14ac:dyDescent="0.25">
      <c r="B138" s="32" t="s">
        <v>149</v>
      </c>
      <c r="C138" s="21" t="s">
        <v>424</v>
      </c>
      <c r="D138" s="21" t="s">
        <v>361</v>
      </c>
      <c r="E138" s="21"/>
      <c r="F138" s="20">
        <v>591</v>
      </c>
      <c r="G138" s="31">
        <v>24.111000000000001</v>
      </c>
      <c r="H138" s="31">
        <v>22.68</v>
      </c>
      <c r="I138" s="31">
        <v>20.818999999999999</v>
      </c>
      <c r="J138" s="31"/>
      <c r="K138" s="31"/>
      <c r="L138" s="31">
        <v>97.628200000000007</v>
      </c>
      <c r="M138" s="31">
        <v>97.936499999999995</v>
      </c>
      <c r="N138" s="31">
        <v>98.182599999999994</v>
      </c>
      <c r="O138" s="31"/>
      <c r="P138" s="31"/>
      <c r="Q138" s="31">
        <v>2783.1112000000003</v>
      </c>
      <c r="R138" s="31">
        <v>3063.2336</v>
      </c>
      <c r="S138" s="31">
        <v>3343.0522000000001</v>
      </c>
      <c r="T138" s="31"/>
      <c r="U138" s="31"/>
      <c r="V138" s="31">
        <f t="shared" si="31"/>
        <v>65512.031097311599</v>
      </c>
      <c r="W138" s="31">
        <f t="shared" si="32"/>
        <v>68040.539209379509</v>
      </c>
      <c r="X138" s="31">
        <f t="shared" si="33"/>
        <v>68334.111457614781</v>
      </c>
      <c r="Y138" s="31"/>
      <c r="Z138" s="31"/>
      <c r="AA138" s="2">
        <v>0.92400002000000003</v>
      </c>
      <c r="AB138" s="2">
        <v>0.98</v>
      </c>
      <c r="AC138" s="2">
        <v>0.87599998000000001</v>
      </c>
      <c r="AD138">
        <f t="shared" si="34"/>
        <v>66679.728425191919</v>
      </c>
      <c r="AE138" s="84">
        <f t="shared" si="35"/>
        <v>8473.4311874264604</v>
      </c>
      <c r="AF138" s="2">
        <f t="shared" si="36"/>
        <v>37576.579806309193</v>
      </c>
    </row>
    <row r="139" spans="2:32" hidden="1" x14ac:dyDescent="0.25">
      <c r="B139" s="32" t="s">
        <v>109</v>
      </c>
      <c r="C139" s="21" t="s">
        <v>423</v>
      </c>
      <c r="D139" s="21" t="s">
        <v>356</v>
      </c>
      <c r="E139" s="21"/>
      <c r="F139" s="20">
        <v>598</v>
      </c>
      <c r="G139" s="31">
        <v>36.869</v>
      </c>
      <c r="H139" s="31">
        <v>34.145000000000003</v>
      </c>
      <c r="I139" s="31">
        <v>31.684000000000001</v>
      </c>
      <c r="J139" s="31">
        <v>29</v>
      </c>
      <c r="K139" s="31">
        <v>27.2</v>
      </c>
      <c r="L139" s="31">
        <v>93.419600000000003</v>
      </c>
      <c r="M139" s="31">
        <v>94.363</v>
      </c>
      <c r="N139" s="31">
        <v>94.924999999999997</v>
      </c>
      <c r="O139" s="31">
        <f>100-4.48</f>
        <v>95.52</v>
      </c>
      <c r="P139" s="31">
        <f>100-3.95</f>
        <v>96.05</v>
      </c>
      <c r="Q139" s="31">
        <v>4974.3500000000004</v>
      </c>
      <c r="R139" s="31">
        <v>5676.3729999999996</v>
      </c>
      <c r="S139" s="31">
        <v>6423.8789999999999</v>
      </c>
      <c r="T139" s="31">
        <v>7645</v>
      </c>
      <c r="U139" s="31">
        <v>8464</v>
      </c>
      <c r="V139" s="31">
        <f t="shared" si="31"/>
        <v>171330.90194488943</v>
      </c>
      <c r="W139" s="31">
        <f t="shared" si="32"/>
        <v>182894.13643448855</v>
      </c>
      <c r="X139" s="31">
        <f t="shared" si="33"/>
        <v>193204.82248752299</v>
      </c>
      <c r="Y139" s="31">
        <f>J139*T139*(O139/100)</f>
        <v>211772.61599999998</v>
      </c>
      <c r="Z139" s="31">
        <f>K139*U139*(P139/100)</f>
        <v>221127.0784</v>
      </c>
      <c r="AA139" s="84">
        <v>0.56599997999999996</v>
      </c>
      <c r="AB139" s="84">
        <v>0.61</v>
      </c>
      <c r="AC139" s="84">
        <v>0.59599997999999998</v>
      </c>
      <c r="AD139">
        <f t="shared" si="34"/>
        <v>111565.42322503802</v>
      </c>
      <c r="AE139" s="84">
        <f t="shared" si="35"/>
        <v>78054.752149055741</v>
      </c>
      <c r="AF139" s="2">
        <f t="shared" si="36"/>
        <v>94810.087687046878</v>
      </c>
    </row>
    <row r="140" spans="2:32" hidden="1" x14ac:dyDescent="0.25">
      <c r="B140" s="32" t="s">
        <v>27</v>
      </c>
      <c r="C140" s="21" t="s">
        <v>422</v>
      </c>
      <c r="D140" s="21" t="s">
        <v>356</v>
      </c>
      <c r="E140" s="21"/>
      <c r="F140" s="20">
        <v>600</v>
      </c>
      <c r="G140" s="31">
        <v>29.254000000000001</v>
      </c>
      <c r="H140" s="31">
        <v>26.914999999999999</v>
      </c>
      <c r="I140" s="31">
        <v>24.821999999999999</v>
      </c>
      <c r="J140" s="31">
        <v>23.7</v>
      </c>
      <c r="K140" s="31">
        <v>22.2</v>
      </c>
      <c r="L140" s="31">
        <v>96.081999999999994</v>
      </c>
      <c r="M140" s="31">
        <v>96.447900000000004</v>
      </c>
      <c r="N140" s="31">
        <v>96.798000000000002</v>
      </c>
      <c r="O140" s="31">
        <f>100-2.74</f>
        <v>97.26</v>
      </c>
      <c r="P140" s="31">
        <f>100-2.4</f>
        <v>97.6</v>
      </c>
      <c r="Q140" s="31">
        <v>5021.1531999999997</v>
      </c>
      <c r="R140" s="31">
        <v>5571.3747999999996</v>
      </c>
      <c r="S140" s="31">
        <v>6126.59</v>
      </c>
      <c r="T140" s="31">
        <v>7029</v>
      </c>
      <c r="U140" s="31">
        <v>7601</v>
      </c>
      <c r="V140" s="31">
        <f t="shared" si="31"/>
        <v>141133.71191317248</v>
      </c>
      <c r="W140" s="31">
        <f t="shared" si="32"/>
        <v>144627.05259505138</v>
      </c>
      <c r="X140" s="31">
        <f t="shared" si="33"/>
        <v>147204.80055230041</v>
      </c>
      <c r="Y140" s="31">
        <f>J140*T140*(O140/100)</f>
        <v>162022.80797999998</v>
      </c>
      <c r="Z140" s="31">
        <f>K140*U140*(P140/100)</f>
        <v>164692.38719999997</v>
      </c>
      <c r="AA140" s="84">
        <v>0.75199996999999996</v>
      </c>
      <c r="AB140" s="84">
        <v>0.87199996999999996</v>
      </c>
      <c r="AC140" s="84">
        <v>0.91199996999999999</v>
      </c>
      <c r="AD140">
        <f t="shared" si="34"/>
        <v>126114.78552407322</v>
      </c>
      <c r="AE140" s="84">
        <f t="shared" si="35"/>
        <v>12954.026864746455</v>
      </c>
      <c r="AF140" s="2">
        <f t="shared" si="36"/>
        <v>69534.406194409836</v>
      </c>
    </row>
    <row r="141" spans="2:32" hidden="1" x14ac:dyDescent="0.25">
      <c r="B141" s="32" t="s">
        <v>148</v>
      </c>
      <c r="C141" s="21" t="s">
        <v>421</v>
      </c>
      <c r="D141" s="21" t="s">
        <v>361</v>
      </c>
      <c r="E141" s="21"/>
      <c r="F141" s="20">
        <v>604</v>
      </c>
      <c r="G141" s="31">
        <v>25.384</v>
      </c>
      <c r="H141" s="31">
        <v>23.058</v>
      </c>
      <c r="I141" s="31">
        <v>21.341999999999999</v>
      </c>
      <c r="J141" s="31"/>
      <c r="K141" s="31"/>
      <c r="L141" s="31">
        <v>96.122900000000001</v>
      </c>
      <c r="M141" s="31">
        <v>96.965800000000002</v>
      </c>
      <c r="N141" s="31">
        <v>97.884299999999996</v>
      </c>
      <c r="O141" s="31"/>
      <c r="P141" s="31"/>
      <c r="Q141" s="31">
        <v>24781.64</v>
      </c>
      <c r="R141" s="31">
        <v>26755.361000000001</v>
      </c>
      <c r="S141" s="31">
        <v>28504.395</v>
      </c>
      <c r="T141" s="31"/>
      <c r="U141" s="31"/>
      <c r="V141" s="31">
        <f t="shared" si="31"/>
        <v>604667.97500665498</v>
      </c>
      <c r="W141" s="31">
        <f t="shared" si="32"/>
        <v>598206.37213089329</v>
      </c>
      <c r="X141" s="31">
        <f t="shared" si="33"/>
        <v>595470.13182480971</v>
      </c>
      <c r="Y141" s="31"/>
      <c r="Z141" s="31"/>
      <c r="AA141" s="2">
        <v>0.93400002000000004</v>
      </c>
      <c r="AB141" s="2">
        <v>0.93599998000000006</v>
      </c>
      <c r="AC141" s="2">
        <v>0.94400002000000005</v>
      </c>
      <c r="AD141">
        <f t="shared" si="34"/>
        <v>559921.1523503887</v>
      </c>
      <c r="AE141" s="84">
        <f t="shared" si="35"/>
        <v>33346.315472786679</v>
      </c>
      <c r="AF141" s="2">
        <f t="shared" si="36"/>
        <v>296633.73391158768</v>
      </c>
    </row>
    <row r="142" spans="2:32" hidden="1" x14ac:dyDescent="0.25">
      <c r="B142" s="32" t="s">
        <v>26</v>
      </c>
      <c r="C142" s="21" t="s">
        <v>420</v>
      </c>
      <c r="D142" s="21" t="s">
        <v>356</v>
      </c>
      <c r="E142" s="21"/>
      <c r="F142" s="20">
        <v>608</v>
      </c>
      <c r="G142" s="31">
        <v>28.893000000000001</v>
      </c>
      <c r="H142" s="31">
        <v>26.373999999999999</v>
      </c>
      <c r="I142" s="31">
        <v>24.963000000000001</v>
      </c>
      <c r="J142" s="31">
        <v>24.5</v>
      </c>
      <c r="K142" s="31">
        <v>23.2</v>
      </c>
      <c r="L142" s="31">
        <v>96.562899999999999</v>
      </c>
      <c r="M142" s="31">
        <v>97.229699999999994</v>
      </c>
      <c r="N142" s="31">
        <v>97.702200000000005</v>
      </c>
      <c r="O142" s="31">
        <f>100-2.09</f>
        <v>97.91</v>
      </c>
      <c r="P142" s="31">
        <f>100-1.93</f>
        <v>98.07</v>
      </c>
      <c r="Q142" s="31">
        <v>73045.395999999993</v>
      </c>
      <c r="R142" s="31">
        <v>80794.554000000004</v>
      </c>
      <c r="S142" s="31">
        <v>88728.952999999994</v>
      </c>
      <c r="T142" s="31">
        <v>101421</v>
      </c>
      <c r="U142" s="31">
        <v>109742</v>
      </c>
      <c r="V142" s="31">
        <f t="shared" si="31"/>
        <v>2037960.6095901688</v>
      </c>
      <c r="W142" s="31">
        <f t="shared" si="32"/>
        <v>2071843.9213579691</v>
      </c>
      <c r="X142" s="31">
        <f t="shared" si="33"/>
        <v>2164045.9428017852</v>
      </c>
      <c r="Y142" s="31">
        <f>J142*T142*(O142/100)</f>
        <v>2432881.8769499999</v>
      </c>
      <c r="Z142" s="31">
        <f>K142*U142*(P142/100)</f>
        <v>2496876.3220799998</v>
      </c>
      <c r="AA142" s="84">
        <v>0.77400002000000001</v>
      </c>
      <c r="AB142" s="84">
        <v>0.81599997999999996</v>
      </c>
      <c r="AC142" s="84">
        <v>0.88400002</v>
      </c>
      <c r="AD142">
        <f t="shared" si="34"/>
        <v>1690624.5983912242</v>
      </c>
      <c r="AE142" s="84">
        <f t="shared" si="35"/>
        <v>251029.28608408823</v>
      </c>
      <c r="AF142" s="2">
        <f t="shared" si="36"/>
        <v>970826.94223765621</v>
      </c>
    </row>
    <row r="143" spans="2:32" x14ac:dyDescent="0.25">
      <c r="B143" s="32" t="s">
        <v>147</v>
      </c>
      <c r="C143" s="21" t="s">
        <v>419</v>
      </c>
      <c r="D143" s="21" t="s">
        <v>366</v>
      </c>
      <c r="E143" s="21"/>
      <c r="F143" s="20">
        <v>616</v>
      </c>
      <c r="G143" s="31">
        <v>10.551</v>
      </c>
      <c r="H143" s="31">
        <v>9.3719999999999999</v>
      </c>
      <c r="I143" s="31">
        <v>9.7919999999999998</v>
      </c>
      <c r="J143" s="31"/>
      <c r="K143" s="31"/>
      <c r="L143" s="31">
        <v>98.971800000000002</v>
      </c>
      <c r="M143" s="31">
        <v>99.275700000000001</v>
      </c>
      <c r="N143" s="31">
        <v>99.326899999999995</v>
      </c>
      <c r="O143" s="31"/>
      <c r="P143" s="31"/>
      <c r="Q143" s="31">
        <v>38635.949000000001</v>
      </c>
      <c r="R143" s="31">
        <v>38263.798000000003</v>
      </c>
      <c r="S143" s="31">
        <v>38140.584000000003</v>
      </c>
      <c r="T143" s="31"/>
      <c r="U143" s="31"/>
      <c r="V143" s="31">
        <f t="shared" si="31"/>
        <v>403456.46221280255</v>
      </c>
      <c r="W143" s="31">
        <f t="shared" si="32"/>
        <v>356010.91483149806</v>
      </c>
      <c r="X143" s="31">
        <f t="shared" si="33"/>
        <v>370958.754467308</v>
      </c>
      <c r="Y143" s="31"/>
      <c r="Z143" s="31"/>
      <c r="AA143" s="2">
        <v>0.97400002000000008</v>
      </c>
      <c r="AB143" s="2">
        <v>0.98599998</v>
      </c>
      <c r="AC143" s="2">
        <v>0.99</v>
      </c>
      <c r="AD143">
        <f t="shared" si="34"/>
        <v>351026.75490363879</v>
      </c>
      <c r="AE143" s="84">
        <f t="shared" si="35"/>
        <v>3709.5875446730834</v>
      </c>
      <c r="AF143" s="2">
        <f t="shared" si="36"/>
        <v>177368.17122415593</v>
      </c>
    </row>
    <row r="144" spans="2:32" x14ac:dyDescent="0.25">
      <c r="B144" s="32" t="s">
        <v>146</v>
      </c>
      <c r="C144" s="21" t="s">
        <v>418</v>
      </c>
      <c r="D144" s="21" t="s">
        <v>366</v>
      </c>
      <c r="E144" s="21"/>
      <c r="F144" s="20">
        <v>620</v>
      </c>
      <c r="G144" s="31">
        <v>10.981</v>
      </c>
      <c r="H144" s="31">
        <v>10.669</v>
      </c>
      <c r="I144" s="31">
        <v>9.8729999999999993</v>
      </c>
      <c r="J144" s="31"/>
      <c r="K144" s="31"/>
      <c r="L144" s="31">
        <v>99.365099999999998</v>
      </c>
      <c r="M144" s="31">
        <v>99.549000000000007</v>
      </c>
      <c r="N144" s="31">
        <v>99.583600000000004</v>
      </c>
      <c r="O144" s="31"/>
      <c r="P144" s="31"/>
      <c r="Q144" s="31">
        <v>10094.799999999999</v>
      </c>
      <c r="R144" s="31">
        <v>10366.014999999999</v>
      </c>
      <c r="S144" s="31">
        <v>10599.322</v>
      </c>
      <c r="T144" s="31"/>
      <c r="U144" s="31"/>
      <c r="V144" s="31">
        <f t="shared" si="31"/>
        <v>110147.20580861878</v>
      </c>
      <c r="W144" s="31">
        <f t="shared" si="32"/>
        <v>110096.23052170215</v>
      </c>
      <c r="X144" s="31">
        <f t="shared" si="33"/>
        <v>104211.3555561746</v>
      </c>
      <c r="Y144" s="31"/>
      <c r="Z144" s="31"/>
      <c r="AA144" s="2">
        <v>0.95199997000000003</v>
      </c>
      <c r="AB144" s="2">
        <v>0.97</v>
      </c>
      <c r="AC144" s="2">
        <v>0.96</v>
      </c>
      <c r="AD144">
        <f t="shared" si="34"/>
        <v>106793.34360605109</v>
      </c>
      <c r="AE144" s="84">
        <f t="shared" si="35"/>
        <v>4168.4542222469881</v>
      </c>
      <c r="AF144" s="2">
        <f t="shared" si="36"/>
        <v>55480.898914149038</v>
      </c>
    </row>
    <row r="145" spans="2:32" hidden="1" x14ac:dyDescent="0.25">
      <c r="B145" s="32" t="s">
        <v>417</v>
      </c>
      <c r="C145" s="21" t="s">
        <v>416</v>
      </c>
      <c r="D145" s="21"/>
      <c r="E145" s="21"/>
      <c r="F145" s="20">
        <v>630</v>
      </c>
      <c r="G145" s="31">
        <v>15.656000000000001</v>
      </c>
      <c r="H145" s="31">
        <v>13.773999999999999</v>
      </c>
      <c r="I145" s="31">
        <v>13.19</v>
      </c>
      <c r="J145" s="31"/>
      <c r="K145" s="31"/>
      <c r="L145" s="31">
        <v>98.9054</v>
      </c>
      <c r="M145" s="31">
        <v>99.189400000000006</v>
      </c>
      <c r="N145" s="31">
        <v>99.276300000000006</v>
      </c>
      <c r="O145" s="31"/>
      <c r="P145" s="31"/>
      <c r="Q145" s="31"/>
      <c r="R145" s="31"/>
      <c r="S145" s="31"/>
      <c r="T145" s="31"/>
      <c r="U145" s="31"/>
      <c r="V145" s="31">
        <f t="shared" si="31"/>
        <v>0</v>
      </c>
      <c r="W145" s="31">
        <f t="shared" si="32"/>
        <v>0</v>
      </c>
      <c r="X145" s="31">
        <f t="shared" si="33"/>
        <v>0</v>
      </c>
      <c r="Y145" s="31">
        <f>J145*T145*(O145/100)</f>
        <v>0</v>
      </c>
      <c r="Z145" s="31">
        <f>K145*U145*(P145/100)</f>
        <v>0</v>
      </c>
      <c r="AA145" s="84">
        <v>0</v>
      </c>
      <c r="AB145" s="84">
        <v>0</v>
      </c>
      <c r="AC145" s="84">
        <v>0</v>
      </c>
      <c r="AD145">
        <f t="shared" si="34"/>
        <v>0</v>
      </c>
      <c r="AE145" s="84">
        <f t="shared" si="35"/>
        <v>0</v>
      </c>
      <c r="AF145" s="2">
        <f t="shared" si="36"/>
        <v>0</v>
      </c>
    </row>
    <row r="146" spans="2:32" x14ac:dyDescent="0.25">
      <c r="B146" s="32" t="s">
        <v>145</v>
      </c>
      <c r="C146" s="21" t="s">
        <v>415</v>
      </c>
      <c r="D146" s="21" t="s">
        <v>366</v>
      </c>
      <c r="E146" s="21"/>
      <c r="F146" s="20">
        <v>634</v>
      </c>
      <c r="G146" s="31">
        <v>19.946999999999999</v>
      </c>
      <c r="H146" s="31">
        <v>15.704000000000001</v>
      </c>
      <c r="I146" s="31">
        <v>12.196999999999999</v>
      </c>
      <c r="J146" s="31"/>
      <c r="K146" s="31"/>
      <c r="L146" s="31">
        <v>98.711799999999997</v>
      </c>
      <c r="M146" s="31">
        <v>99.0244</v>
      </c>
      <c r="N146" s="31">
        <v>99.168999999999997</v>
      </c>
      <c r="O146" s="31"/>
      <c r="P146" s="31"/>
      <c r="Q146" s="31">
        <v>554.45839999999998</v>
      </c>
      <c r="R146" s="31">
        <v>695.63159999999993</v>
      </c>
      <c r="S146" s="31">
        <v>1142.7768000000001</v>
      </c>
      <c r="T146" s="31"/>
      <c r="U146" s="31"/>
      <c r="V146" s="31">
        <f t="shared" si="31"/>
        <v>10917.309596878766</v>
      </c>
      <c r="W146" s="31">
        <f t="shared" si="32"/>
        <v>10817.622164405722</v>
      </c>
      <c r="X146" s="31">
        <f t="shared" si="33"/>
        <v>13822.620121488024</v>
      </c>
      <c r="Y146" s="31"/>
      <c r="Z146" s="31"/>
      <c r="AA146" s="2">
        <v>0.92400002000000003</v>
      </c>
      <c r="AB146" s="2">
        <v>0.91400002000000002</v>
      </c>
      <c r="AC146" s="2">
        <v>0.96599997999999998</v>
      </c>
      <c r="AD146">
        <f t="shared" si="34"/>
        <v>9887.306874619273</v>
      </c>
      <c r="AE146" s="84">
        <f t="shared" si="35"/>
        <v>469.96936058299553</v>
      </c>
      <c r="AF146" s="2">
        <f t="shared" si="36"/>
        <v>5178.6381176011346</v>
      </c>
    </row>
    <row r="147" spans="2:32" x14ac:dyDescent="0.25">
      <c r="B147" s="32" t="s">
        <v>144</v>
      </c>
      <c r="C147" s="21" t="s">
        <v>414</v>
      </c>
      <c r="D147" s="21" t="s">
        <v>366</v>
      </c>
      <c r="E147" s="21"/>
      <c r="F147" s="20">
        <v>410</v>
      </c>
      <c r="G147" s="31">
        <v>13.679</v>
      </c>
      <c r="H147" s="31">
        <v>10.37</v>
      </c>
      <c r="I147" s="31">
        <v>9.4879999999999995</v>
      </c>
      <c r="J147" s="31"/>
      <c r="K147" s="31"/>
      <c r="L147" s="31">
        <v>99.283799999999999</v>
      </c>
      <c r="M147" s="31">
        <v>99.486800000000002</v>
      </c>
      <c r="N147" s="31">
        <v>99.556899999999999</v>
      </c>
      <c r="O147" s="31"/>
      <c r="P147" s="31"/>
      <c r="Q147" s="31">
        <v>45895.199999999997</v>
      </c>
      <c r="R147" s="31">
        <v>47577</v>
      </c>
      <c r="S147" s="31">
        <v>48449</v>
      </c>
      <c r="T147" s="31"/>
      <c r="U147" s="31"/>
      <c r="V147" s="31">
        <f t="shared" si="31"/>
        <v>623304.13404299039</v>
      </c>
      <c r="W147" s="31">
        <f t="shared" si="32"/>
        <v>490841.49724931997</v>
      </c>
      <c r="X147" s="31">
        <f t="shared" si="33"/>
        <v>457647.2516997279</v>
      </c>
      <c r="Y147" s="31"/>
      <c r="Z147" s="31"/>
      <c r="AA147" s="2">
        <v>0.85800003000000002</v>
      </c>
      <c r="AB147" s="2">
        <v>0.95599997999999997</v>
      </c>
      <c r="AC147" s="2">
        <v>0.94599997999999996</v>
      </c>
      <c r="AD147">
        <f t="shared" si="34"/>
        <v>469244.46155351994</v>
      </c>
      <c r="AE147" s="84">
        <f t="shared" si="35"/>
        <v>24712.960744730357</v>
      </c>
      <c r="AF147" s="2">
        <f t="shared" si="36"/>
        <v>246978.71114912516</v>
      </c>
    </row>
    <row r="148" spans="2:32" hidden="1" x14ac:dyDescent="0.25">
      <c r="B148" s="32" t="s">
        <v>143</v>
      </c>
      <c r="C148" s="21" t="s">
        <v>413</v>
      </c>
      <c r="D148" s="21" t="s">
        <v>356</v>
      </c>
      <c r="E148" s="21"/>
      <c r="F148" s="20">
        <v>498</v>
      </c>
      <c r="G148" s="31">
        <v>12.676</v>
      </c>
      <c r="H148" s="31">
        <v>11.522</v>
      </c>
      <c r="I148" s="31">
        <v>12.291</v>
      </c>
      <c r="J148" s="31">
        <v>12.1</v>
      </c>
      <c r="K148" s="31">
        <v>11.1</v>
      </c>
      <c r="L148" s="31">
        <v>97.551000000000002</v>
      </c>
      <c r="M148" s="31">
        <v>98.114599999999996</v>
      </c>
      <c r="N148" s="31">
        <v>98.205699999999993</v>
      </c>
      <c r="O148" s="31">
        <f>100-1.43</f>
        <v>98.57</v>
      </c>
      <c r="P148" s="31">
        <f>100-1.35</f>
        <v>98.65</v>
      </c>
      <c r="Q148" s="31">
        <v>4258.1808000000001</v>
      </c>
      <c r="R148" s="31">
        <v>3960.2426</v>
      </c>
      <c r="S148" s="31">
        <v>3674.5042000000003</v>
      </c>
      <c r="T148" s="31">
        <v>3453</v>
      </c>
      <c r="U148" s="31">
        <v>3358</v>
      </c>
      <c r="V148" s="31">
        <f t="shared" si="31"/>
        <v>52654.810442188609</v>
      </c>
      <c r="W148" s="31">
        <f t="shared" si="32"/>
        <v>44769.608815317835</v>
      </c>
      <c r="X148" s="31">
        <f t="shared" si="33"/>
        <v>44352.965471874362</v>
      </c>
      <c r="Y148" s="31">
        <f t="shared" ref="Y148:Z150" si="37">J148*T148*(O148/100)</f>
        <v>41183.827409999991</v>
      </c>
      <c r="Z148" s="31">
        <f t="shared" si="37"/>
        <v>36770.6037</v>
      </c>
      <c r="AA148" s="84">
        <v>0.96800003000000001</v>
      </c>
      <c r="AB148" s="84">
        <v>0.97</v>
      </c>
      <c r="AC148" s="84">
        <v>0.94199997000000002</v>
      </c>
      <c r="AD148">
        <f t="shared" si="34"/>
        <v>43426.520550858302</v>
      </c>
      <c r="AE148" s="84">
        <f t="shared" si="35"/>
        <v>2572.4733279576762</v>
      </c>
      <c r="AF148" s="2">
        <f t="shared" si="36"/>
        <v>22999.496939407989</v>
      </c>
    </row>
    <row r="149" spans="2:32" hidden="1" x14ac:dyDescent="0.25">
      <c r="B149" s="32" t="s">
        <v>412</v>
      </c>
      <c r="C149" s="21" t="s">
        <v>411</v>
      </c>
      <c r="D149" s="21"/>
      <c r="E149" s="21"/>
      <c r="F149" s="20">
        <v>638</v>
      </c>
      <c r="G149" s="31">
        <v>20.053999999999998</v>
      </c>
      <c r="H149" s="31">
        <v>19.928000000000001</v>
      </c>
      <c r="I149" s="31">
        <v>18.55</v>
      </c>
      <c r="J149" s="31"/>
      <c r="K149" s="31"/>
      <c r="L149" s="31">
        <v>99.220200000000006</v>
      </c>
      <c r="M149" s="31">
        <v>99.284599999999998</v>
      </c>
      <c r="N149" s="31">
        <v>99.332599999999999</v>
      </c>
      <c r="O149" s="31"/>
      <c r="P149" s="31"/>
      <c r="Q149" s="31"/>
      <c r="R149" s="31"/>
      <c r="S149" s="31"/>
      <c r="T149" s="31"/>
      <c r="U149" s="31"/>
      <c r="V149" s="31">
        <f t="shared" si="31"/>
        <v>0</v>
      </c>
      <c r="W149" s="31">
        <f t="shared" si="32"/>
        <v>0</v>
      </c>
      <c r="X149" s="31">
        <f t="shared" si="33"/>
        <v>0</v>
      </c>
      <c r="Y149" s="31">
        <f t="shared" si="37"/>
        <v>0</v>
      </c>
      <c r="Z149" s="31">
        <f t="shared" si="37"/>
        <v>0</v>
      </c>
      <c r="AA149" s="84">
        <v>0</v>
      </c>
      <c r="AB149" s="84">
        <v>0</v>
      </c>
      <c r="AC149" s="84">
        <v>0</v>
      </c>
      <c r="AD149">
        <f t="shared" si="34"/>
        <v>0</v>
      </c>
      <c r="AE149" s="84">
        <f t="shared" si="35"/>
        <v>0</v>
      </c>
      <c r="AF149" s="2">
        <f t="shared" si="36"/>
        <v>0</v>
      </c>
    </row>
    <row r="150" spans="2:32" hidden="1" x14ac:dyDescent="0.25">
      <c r="B150" s="32" t="s">
        <v>142</v>
      </c>
      <c r="C150" s="21" t="s">
        <v>410</v>
      </c>
      <c r="D150" s="21"/>
      <c r="E150" s="21"/>
      <c r="F150" s="20">
        <v>642</v>
      </c>
      <c r="G150" s="31">
        <v>10.481999999999999</v>
      </c>
      <c r="H150" s="31">
        <v>10.035</v>
      </c>
      <c r="I150" s="31">
        <v>10.045</v>
      </c>
      <c r="J150" s="31"/>
      <c r="K150" s="31"/>
      <c r="L150" s="31">
        <v>97.932699999999997</v>
      </c>
      <c r="M150" s="31">
        <v>98.333100000000002</v>
      </c>
      <c r="N150" s="31">
        <v>98.537099999999995</v>
      </c>
      <c r="O150" s="31"/>
      <c r="P150" s="31"/>
      <c r="Q150" s="31">
        <v>0</v>
      </c>
      <c r="R150" s="31">
        <v>0</v>
      </c>
      <c r="S150" s="31">
        <v>0</v>
      </c>
      <c r="T150" s="31"/>
      <c r="U150" s="31"/>
      <c r="V150" s="31">
        <f t="shared" si="31"/>
        <v>0</v>
      </c>
      <c r="W150" s="31">
        <f t="shared" si="32"/>
        <v>0</v>
      </c>
      <c r="X150" s="31">
        <f t="shared" si="33"/>
        <v>0</v>
      </c>
      <c r="Y150" s="31">
        <f t="shared" si="37"/>
        <v>0</v>
      </c>
      <c r="Z150" s="31">
        <f t="shared" si="37"/>
        <v>0</v>
      </c>
      <c r="AA150" s="84">
        <v>0.97400002000000008</v>
      </c>
      <c r="AB150" s="84">
        <v>0.98</v>
      </c>
      <c r="AC150" s="84">
        <v>0.97</v>
      </c>
      <c r="AD150">
        <f t="shared" si="34"/>
        <v>0</v>
      </c>
      <c r="AE150" s="84">
        <f t="shared" si="35"/>
        <v>0</v>
      </c>
      <c r="AF150" s="2">
        <f t="shared" si="36"/>
        <v>0</v>
      </c>
    </row>
    <row r="151" spans="2:32" hidden="1" x14ac:dyDescent="0.25">
      <c r="B151" s="32" t="s">
        <v>141</v>
      </c>
      <c r="C151" s="21" t="s">
        <v>409</v>
      </c>
      <c r="D151" s="21" t="s">
        <v>361</v>
      </c>
      <c r="E151" s="21"/>
      <c r="F151" s="20">
        <v>643</v>
      </c>
      <c r="G151" s="31">
        <v>8.9410000000000007</v>
      </c>
      <c r="H151" s="31">
        <v>9.8539999999999992</v>
      </c>
      <c r="I151" s="31">
        <v>10.827999999999999</v>
      </c>
      <c r="J151" s="31"/>
      <c r="K151" s="31"/>
      <c r="L151" s="31">
        <v>97.878799999999998</v>
      </c>
      <c r="M151" s="31">
        <v>98.268000000000001</v>
      </c>
      <c r="N151" s="31">
        <v>98.811800000000005</v>
      </c>
      <c r="O151" s="31"/>
      <c r="P151" s="31"/>
      <c r="Q151" s="31">
        <v>147300</v>
      </c>
      <c r="R151" s="31">
        <v>145200</v>
      </c>
      <c r="S151" s="31">
        <v>142300</v>
      </c>
      <c r="T151" s="31"/>
      <c r="U151" s="31"/>
      <c r="V151" s="31">
        <f t="shared" si="31"/>
        <v>1289072.8987284</v>
      </c>
      <c r="W151" s="31">
        <f t="shared" si="32"/>
        <v>1406019.3301439998</v>
      </c>
      <c r="X151" s="31">
        <f t="shared" si="33"/>
        <v>1522516.3244791999</v>
      </c>
      <c r="Y151" s="31"/>
      <c r="Z151" s="31"/>
      <c r="AA151" s="2">
        <v>0.87199996999999996</v>
      </c>
      <c r="AB151" s="2">
        <v>0.96599997999999998</v>
      </c>
      <c r="AC151" s="2">
        <v>0.98199996999999994</v>
      </c>
      <c r="AD151">
        <f t="shared" si="34"/>
        <v>1358214.6447987172</v>
      </c>
      <c r="AE151" s="84">
        <f t="shared" si="35"/>
        <v>27405.339516115419</v>
      </c>
      <c r="AF151" s="2">
        <f t="shared" si="36"/>
        <v>692809.9921574163</v>
      </c>
    </row>
    <row r="152" spans="2:32" hidden="1" x14ac:dyDescent="0.25">
      <c r="B152" s="32" t="s">
        <v>76</v>
      </c>
      <c r="C152" s="21" t="s">
        <v>408</v>
      </c>
      <c r="D152" s="21" t="s">
        <v>353</v>
      </c>
      <c r="E152" s="21"/>
      <c r="F152" s="20">
        <v>646</v>
      </c>
      <c r="G152" s="31">
        <v>40.304000000000002</v>
      </c>
      <c r="H152" s="31">
        <v>41.042000000000002</v>
      </c>
      <c r="I152" s="31">
        <v>41.033000000000001</v>
      </c>
      <c r="J152" s="31">
        <v>40.6</v>
      </c>
      <c r="K152" s="31">
        <v>37.14</v>
      </c>
      <c r="L152" s="31">
        <v>88.285399999999996</v>
      </c>
      <c r="M152" s="31">
        <v>89.135199999999998</v>
      </c>
      <c r="N152" s="31">
        <v>90.048000000000002</v>
      </c>
      <c r="O152" s="31">
        <f>100-9.29</f>
        <v>90.710000000000008</v>
      </c>
      <c r="P152" s="31">
        <f>100-8.52</f>
        <v>91.48</v>
      </c>
      <c r="Q152" s="31">
        <v>6299.0322000000006</v>
      </c>
      <c r="R152" s="31">
        <v>8462.3379999999997</v>
      </c>
      <c r="S152" s="31">
        <v>9474.9958000000006</v>
      </c>
      <c r="T152" s="31">
        <v>12295</v>
      </c>
      <c r="U152" s="31">
        <v>14042</v>
      </c>
      <c r="V152" s="31">
        <f t="shared" si="31"/>
        <v>224135.61319121727</v>
      </c>
      <c r="W152" s="31">
        <f t="shared" si="32"/>
        <v>309576.60065985698</v>
      </c>
      <c r="X152" s="31">
        <f t="shared" si="33"/>
        <v>350095.37039653747</v>
      </c>
      <c r="Y152" s="31">
        <f>J152*T152*(O152/100)</f>
        <v>452803.45670000004</v>
      </c>
      <c r="Z152" s="31">
        <f>K152*U152*(P152/100)</f>
        <v>477086.38622400002</v>
      </c>
      <c r="AA152" s="84">
        <v>0.8180000300000001</v>
      </c>
      <c r="AB152" s="84">
        <v>0.88</v>
      </c>
      <c r="AC152" s="84">
        <v>0.97</v>
      </c>
      <c r="AD152">
        <f t="shared" si="34"/>
        <v>272427.40858067415</v>
      </c>
      <c r="AE152" s="84">
        <f t="shared" si="35"/>
        <v>10502.861111896134</v>
      </c>
      <c r="AF152" s="2">
        <f t="shared" si="36"/>
        <v>141465.13484628513</v>
      </c>
    </row>
    <row r="153" spans="2:32" hidden="1" x14ac:dyDescent="0.25">
      <c r="B153" s="32" t="s">
        <v>139</v>
      </c>
      <c r="C153" s="21" t="s">
        <v>407</v>
      </c>
      <c r="D153" s="21" t="s">
        <v>361</v>
      </c>
      <c r="E153" s="21"/>
      <c r="F153" s="20">
        <v>662</v>
      </c>
      <c r="G153" s="31">
        <v>21.523</v>
      </c>
      <c r="H153" s="31">
        <v>18.021000000000001</v>
      </c>
      <c r="I153" s="31">
        <v>18.048999999999999</v>
      </c>
      <c r="J153" s="31"/>
      <c r="K153" s="31"/>
      <c r="L153" s="31">
        <v>98.328599999999994</v>
      </c>
      <c r="M153" s="31">
        <v>98.535399999999996</v>
      </c>
      <c r="N153" s="31">
        <v>98.744100000000003</v>
      </c>
      <c r="O153" s="31"/>
      <c r="P153" s="31"/>
      <c r="Q153" s="31">
        <v>149.56399999999999</v>
      </c>
      <c r="R153" s="31">
        <v>159.21600000000001</v>
      </c>
      <c r="S153" s="31">
        <v>168.45267999999999</v>
      </c>
      <c r="T153" s="31"/>
      <c r="U153" s="31"/>
      <c r="V153" s="31">
        <f t="shared" si="31"/>
        <v>3165.2625033439917</v>
      </c>
      <c r="W153" s="31">
        <f t="shared" si="32"/>
        <v>2827.2087709237444</v>
      </c>
      <c r="X153" s="31">
        <f t="shared" si="33"/>
        <v>3002.2180073106415</v>
      </c>
      <c r="Y153" s="31"/>
      <c r="Z153" s="31"/>
      <c r="AA153" s="2">
        <v>0.92199997</v>
      </c>
      <c r="AB153" s="2">
        <v>0.86800003000000003</v>
      </c>
      <c r="AC153" s="2">
        <v>0.94000000000000006</v>
      </c>
      <c r="AD153">
        <f t="shared" si="34"/>
        <v>2454.0172979780732</v>
      </c>
      <c r="AE153" s="84">
        <f t="shared" si="35"/>
        <v>180.13308043863833</v>
      </c>
      <c r="AF153" s="2">
        <f t="shared" si="36"/>
        <v>1317.0751892083558</v>
      </c>
    </row>
    <row r="154" spans="2:32" hidden="1" x14ac:dyDescent="0.25">
      <c r="B154" s="32" t="s">
        <v>138</v>
      </c>
      <c r="C154" s="21" t="s">
        <v>406</v>
      </c>
      <c r="D154" s="21" t="s">
        <v>361</v>
      </c>
      <c r="E154" s="21"/>
      <c r="F154" s="20">
        <v>670</v>
      </c>
      <c r="G154" s="31">
        <v>21.420999999999999</v>
      </c>
      <c r="H154" s="31">
        <v>18.645</v>
      </c>
      <c r="I154" s="31">
        <v>17.725000000000001</v>
      </c>
      <c r="J154" s="31"/>
      <c r="K154" s="31"/>
      <c r="L154" s="31">
        <v>97.1755</v>
      </c>
      <c r="M154" s="31">
        <v>97.328500000000005</v>
      </c>
      <c r="N154" s="31">
        <v>97.672499999999999</v>
      </c>
      <c r="O154" s="31"/>
      <c r="P154" s="31"/>
      <c r="Q154" s="31">
        <v>107.9472</v>
      </c>
      <c r="R154" s="31">
        <v>108.15560000000001</v>
      </c>
      <c r="S154" s="31">
        <v>108.9838</v>
      </c>
      <c r="T154" s="31"/>
      <c r="U154" s="31"/>
      <c r="V154" s="31">
        <f t="shared" si="31"/>
        <v>2247.0250134484559</v>
      </c>
      <c r="W154" s="31">
        <f t="shared" si="32"/>
        <v>1962.6887305571704</v>
      </c>
      <c r="X154" s="31">
        <f t="shared" si="33"/>
        <v>1886.776656424875</v>
      </c>
      <c r="Y154" s="31"/>
      <c r="Z154" s="31"/>
      <c r="AA154" s="2">
        <v>0.97800003000000002</v>
      </c>
      <c r="AB154" s="2">
        <v>0.99</v>
      </c>
      <c r="AC154" s="2">
        <v>0.99</v>
      </c>
      <c r="AD154">
        <f t="shared" si="34"/>
        <v>1943.0618432515987</v>
      </c>
      <c r="AE154" s="84">
        <f t="shared" si="35"/>
        <v>18.867766564248768</v>
      </c>
      <c r="AF154" s="2">
        <f t="shared" si="36"/>
        <v>980.96480490792374</v>
      </c>
    </row>
    <row r="155" spans="2:32" hidden="1" x14ac:dyDescent="0.25">
      <c r="B155" s="32" t="s">
        <v>25</v>
      </c>
      <c r="C155" s="21" t="s">
        <v>405</v>
      </c>
      <c r="D155" s="21" t="s">
        <v>356</v>
      </c>
      <c r="E155" s="21"/>
      <c r="F155" s="20">
        <v>882</v>
      </c>
      <c r="G155" s="31">
        <v>32.055</v>
      </c>
      <c r="H155" s="31">
        <v>29.245999999999999</v>
      </c>
      <c r="I155" s="31">
        <v>23.763999999999999</v>
      </c>
      <c r="J155" s="31">
        <v>23.7</v>
      </c>
      <c r="K155" s="31">
        <v>22.6</v>
      </c>
      <c r="L155" s="31">
        <v>97.009699999999995</v>
      </c>
      <c r="M155" s="31">
        <v>97.427099999999996</v>
      </c>
      <c r="N155" s="31">
        <v>97.767600000000002</v>
      </c>
      <c r="O155" s="31">
        <f>100-1.98</f>
        <v>98.02</v>
      </c>
      <c r="P155" s="31">
        <f>100-1.78</f>
        <v>98.22</v>
      </c>
      <c r="Q155" s="31">
        <v>171.80960000000002</v>
      </c>
      <c r="R155" s="31">
        <v>177.93879999999999</v>
      </c>
      <c r="S155" s="31">
        <v>178.92660000000001</v>
      </c>
      <c r="T155" s="31">
        <v>188</v>
      </c>
      <c r="U155" s="31">
        <v>191</v>
      </c>
      <c r="V155" s="31">
        <f t="shared" si="31"/>
        <v>5342.6702397626159</v>
      </c>
      <c r="W155" s="31">
        <f t="shared" si="32"/>
        <v>5070.1044765324395</v>
      </c>
      <c r="X155" s="31">
        <f t="shared" si="33"/>
        <v>4157.0898127091432</v>
      </c>
      <c r="Y155" s="31">
        <f>J155*T155*(O155/100)</f>
        <v>4367.3791199999996</v>
      </c>
      <c r="Z155" s="31">
        <f>K155*U155*(P155/100)</f>
        <v>4239.7645200000006</v>
      </c>
      <c r="AA155" s="84">
        <v>0.96400002000000007</v>
      </c>
      <c r="AB155" s="84">
        <v>0.9</v>
      </c>
      <c r="AC155" s="84">
        <v>0.61799999000000005</v>
      </c>
      <c r="AD155">
        <f t="shared" si="34"/>
        <v>4563.0940288791953</v>
      </c>
      <c r="AE155" s="84">
        <f t="shared" si="35"/>
        <v>1588.0083500257906</v>
      </c>
      <c r="AF155" s="2">
        <f t="shared" si="36"/>
        <v>3075.551189452493</v>
      </c>
    </row>
    <row r="156" spans="2:32" hidden="1" x14ac:dyDescent="0.25">
      <c r="B156" s="32" t="s">
        <v>108</v>
      </c>
      <c r="C156" s="21" t="s">
        <v>404</v>
      </c>
      <c r="D156" s="21" t="s">
        <v>356</v>
      </c>
      <c r="E156" s="21"/>
      <c r="F156" s="20">
        <v>678</v>
      </c>
      <c r="G156" s="31">
        <v>36.017000000000003</v>
      </c>
      <c r="H156" s="31">
        <v>34.869999999999997</v>
      </c>
      <c r="I156" s="31">
        <v>32.399000000000001</v>
      </c>
      <c r="J156" s="31">
        <v>29.9</v>
      </c>
      <c r="K156" s="31">
        <v>27.6</v>
      </c>
      <c r="L156" s="31">
        <v>91.9268</v>
      </c>
      <c r="M156" s="31">
        <v>92.319100000000006</v>
      </c>
      <c r="N156" s="31">
        <v>92.7761</v>
      </c>
      <c r="O156" s="31">
        <f>100-4.75</f>
        <v>95.25</v>
      </c>
      <c r="P156" s="31">
        <f>100-4.37</f>
        <v>95.63</v>
      </c>
      <c r="Q156" s="31">
        <v>132.78039999999999</v>
      </c>
      <c r="R156" s="31">
        <v>145.11520000000002</v>
      </c>
      <c r="S156" s="31">
        <v>157.66279999999998</v>
      </c>
      <c r="T156" s="31">
        <v>182</v>
      </c>
      <c r="U156" s="31">
        <v>200</v>
      </c>
      <c r="V156" s="31">
        <f t="shared" si="31"/>
        <v>4396.2628520359021</v>
      </c>
      <c r="W156" s="31">
        <f t="shared" si="32"/>
        <v>4671.5006550535845</v>
      </c>
      <c r="X156" s="31">
        <f t="shared" si="33"/>
        <v>4739.1117891049289</v>
      </c>
      <c r="Y156" s="31">
        <f>J156*T156*(O156/100)</f>
        <v>5183.3145000000004</v>
      </c>
      <c r="Z156" s="31">
        <f>K156*U156*(P156/100)</f>
        <v>5278.7759999999998</v>
      </c>
      <c r="AA156" s="84">
        <v>0.74199996999999995</v>
      </c>
      <c r="AB156" s="84">
        <v>0.91199996999999999</v>
      </c>
      <c r="AC156" s="84">
        <v>0.97599997999999999</v>
      </c>
      <c r="AD156">
        <f t="shared" si="34"/>
        <v>4260.4084572638494</v>
      </c>
      <c r="AE156" s="84">
        <f t="shared" si="35"/>
        <v>113.73877772075413</v>
      </c>
      <c r="AF156" s="2">
        <f t="shared" si="36"/>
        <v>2187.0736174923018</v>
      </c>
    </row>
    <row r="157" spans="2:32" x14ac:dyDescent="0.25">
      <c r="B157" s="32" t="s">
        <v>136</v>
      </c>
      <c r="C157" s="21" t="s">
        <v>403</v>
      </c>
      <c r="D157" s="21" t="s">
        <v>366</v>
      </c>
      <c r="E157" s="21"/>
      <c r="F157" s="20">
        <v>682</v>
      </c>
      <c r="G157" s="31">
        <v>29.452999999999999</v>
      </c>
      <c r="H157" s="31">
        <v>26.510999999999999</v>
      </c>
      <c r="I157" s="31">
        <v>23.568999999999999</v>
      </c>
      <c r="J157" s="31"/>
      <c r="K157" s="31"/>
      <c r="L157" s="31">
        <v>97.397400000000005</v>
      </c>
      <c r="M157" s="31">
        <v>97.759799999999998</v>
      </c>
      <c r="N157" s="31">
        <v>98.117500000000007</v>
      </c>
      <c r="O157" s="31"/>
      <c r="P157" s="31"/>
      <c r="Q157" s="31">
        <v>19222.741999999998</v>
      </c>
      <c r="R157" s="31">
        <v>21576.436000000002</v>
      </c>
      <c r="S157" s="31">
        <v>24246.460999999999</v>
      </c>
      <c r="T157" s="31"/>
      <c r="U157" s="31"/>
      <c r="V157" s="31">
        <f t="shared" si="31"/>
        <v>551432.34684980067</v>
      </c>
      <c r="W157" s="31">
        <f t="shared" si="32"/>
        <v>559198.66192678001</v>
      </c>
      <c r="X157" s="31">
        <f t="shared" si="33"/>
        <v>560707.013709008</v>
      </c>
      <c r="Y157" s="31"/>
      <c r="Z157" s="31"/>
      <c r="AA157" s="2">
        <v>0.93599998000000006</v>
      </c>
      <c r="AB157" s="2">
        <v>0.95599997999999997</v>
      </c>
      <c r="AC157" s="2">
        <v>0.96800003000000001</v>
      </c>
      <c r="AD157">
        <f t="shared" si="34"/>
        <v>534593.90961802844</v>
      </c>
      <c r="AE157" s="84">
        <f t="shared" si="35"/>
        <v>17942.607617477839</v>
      </c>
      <c r="AF157" s="2">
        <f t="shared" si="36"/>
        <v>276268.25861775316</v>
      </c>
    </row>
    <row r="158" spans="2:32" hidden="1" x14ac:dyDescent="0.25">
      <c r="B158" s="32" t="s">
        <v>23</v>
      </c>
      <c r="C158" s="21" t="s">
        <v>402</v>
      </c>
      <c r="D158" s="21" t="s">
        <v>356</v>
      </c>
      <c r="E158" s="21"/>
      <c r="F158" s="20">
        <v>686</v>
      </c>
      <c r="G158" s="31">
        <v>41.360999999999997</v>
      </c>
      <c r="H158" s="31">
        <v>39.564999999999998</v>
      </c>
      <c r="I158" s="31">
        <v>38.776000000000003</v>
      </c>
      <c r="J158" s="31">
        <v>35.9</v>
      </c>
      <c r="K158" s="31">
        <v>33.299999999999997</v>
      </c>
      <c r="L158" s="31">
        <v>93.352999999999994</v>
      </c>
      <c r="M158" s="31">
        <v>93.805800000000005</v>
      </c>
      <c r="N158" s="31">
        <v>94.161100000000005</v>
      </c>
      <c r="O158" s="31">
        <f>100-4.98</f>
        <v>95.02</v>
      </c>
      <c r="P158" s="31">
        <f>100-4.52</f>
        <v>95.48</v>
      </c>
      <c r="Q158" s="31">
        <v>9146.6630000000005</v>
      </c>
      <c r="R158" s="31">
        <v>10439.118</v>
      </c>
      <c r="S158" s="31">
        <v>11900.581</v>
      </c>
      <c r="T158" s="31">
        <v>14161</v>
      </c>
      <c r="U158" s="31">
        <v>15998</v>
      </c>
      <c r="V158" s="31">
        <f t="shared" si="31"/>
        <v>353168.52176204079</v>
      </c>
      <c r="W158" s="31">
        <f t="shared" si="32"/>
        <v>387440.18941727286</v>
      </c>
      <c r="X158" s="31">
        <f t="shared" si="33"/>
        <v>434512.92023702711</v>
      </c>
      <c r="Y158" s="31">
        <f>J158*T158*(O158/100)</f>
        <v>483062.58097999991</v>
      </c>
      <c r="Z158" s="31">
        <f>K158*U158*(P158/100)</f>
        <v>508653.85031999997</v>
      </c>
      <c r="AA158" s="84">
        <v>0.65599998000000004</v>
      </c>
      <c r="AB158" s="84">
        <v>0.64800003000000006</v>
      </c>
      <c r="AC158" s="84">
        <v>0.88199996999999997</v>
      </c>
      <c r="AD158">
        <f t="shared" si="34"/>
        <v>251061.25436559852</v>
      </c>
      <c r="AE158" s="84">
        <f t="shared" si="35"/>
        <v>51272.537623356824</v>
      </c>
      <c r="AF158" s="2">
        <f t="shared" si="36"/>
        <v>151166.89599447767</v>
      </c>
    </row>
    <row r="159" spans="2:32" hidden="1" x14ac:dyDescent="0.25">
      <c r="B159" s="32" t="s">
        <v>135</v>
      </c>
      <c r="C159" s="21" t="s">
        <v>401</v>
      </c>
      <c r="D159" s="21" t="s">
        <v>361</v>
      </c>
      <c r="E159" s="21"/>
      <c r="F159" s="20">
        <v>688</v>
      </c>
      <c r="G159" s="31">
        <v>12.22</v>
      </c>
      <c r="H159" s="31">
        <v>12.295</v>
      </c>
      <c r="I159" s="31">
        <v>11.612</v>
      </c>
      <c r="J159" s="31"/>
      <c r="K159" s="31"/>
      <c r="L159" s="31">
        <v>98.515299999999996</v>
      </c>
      <c r="M159" s="31">
        <v>98.697800000000001</v>
      </c>
      <c r="N159" s="31">
        <v>98.826700000000002</v>
      </c>
      <c r="Q159" s="31"/>
      <c r="R159" s="31"/>
      <c r="S159" s="31"/>
      <c r="T159" s="31"/>
      <c r="U159" s="31"/>
      <c r="V159" s="31">
        <f t="shared" si="31"/>
        <v>0</v>
      </c>
      <c r="W159" s="31">
        <f t="shared" si="32"/>
        <v>0</v>
      </c>
      <c r="X159" s="31">
        <f t="shared" si="33"/>
        <v>0</v>
      </c>
      <c r="Y159" s="31"/>
      <c r="Z159" s="31"/>
      <c r="AA159" s="84">
        <v>0</v>
      </c>
      <c r="AB159" s="84">
        <v>0</v>
      </c>
      <c r="AC159" s="84">
        <v>0</v>
      </c>
      <c r="AD159">
        <f t="shared" si="34"/>
        <v>0</v>
      </c>
      <c r="AE159" s="84">
        <f t="shared" si="35"/>
        <v>0</v>
      </c>
      <c r="AF159" s="2">
        <f t="shared" si="36"/>
        <v>0</v>
      </c>
    </row>
    <row r="160" spans="2:32" hidden="1" x14ac:dyDescent="0.25">
      <c r="B160" s="32" t="s">
        <v>75</v>
      </c>
      <c r="C160" s="21" t="s">
        <v>400</v>
      </c>
      <c r="D160" s="21" t="s">
        <v>353</v>
      </c>
      <c r="E160" s="21"/>
      <c r="F160" s="20">
        <v>694</v>
      </c>
      <c r="G160" s="31">
        <v>42.664000000000001</v>
      </c>
      <c r="H160" s="31">
        <v>41.929000000000002</v>
      </c>
      <c r="I160" s="31">
        <v>40.441000000000003</v>
      </c>
      <c r="J160" s="31">
        <v>36.5</v>
      </c>
      <c r="K160" s="31">
        <v>33.6</v>
      </c>
      <c r="L160" s="31">
        <v>84.985600000000005</v>
      </c>
      <c r="M160" s="31">
        <v>89.023700000000005</v>
      </c>
      <c r="N160" s="31">
        <v>89.585599999999999</v>
      </c>
      <c r="O160" s="31">
        <f>100-10.35</f>
        <v>89.65</v>
      </c>
      <c r="P160" s="31">
        <f>100-9.45</f>
        <v>90.55</v>
      </c>
      <c r="Q160" s="31">
        <v>4033.14</v>
      </c>
      <c r="R160" s="31">
        <v>4558.9457999999995</v>
      </c>
      <c r="S160" s="31">
        <v>5410.9</v>
      </c>
      <c r="T160" s="31">
        <v>6514</v>
      </c>
      <c r="U160" s="31">
        <v>7178</v>
      </c>
      <c r="V160" s="31">
        <f t="shared" si="31"/>
        <v>146234.62415256575</v>
      </c>
      <c r="W160" s="31">
        <f t="shared" si="32"/>
        <v>170170.61725201021</v>
      </c>
      <c r="X160" s="31">
        <f t="shared" si="33"/>
        <v>196033.18698460638</v>
      </c>
      <c r="Y160" s="31">
        <f>J160*T160*(O160/100)</f>
        <v>213152.73650000003</v>
      </c>
      <c r="Z160" s="31">
        <f>K160*U160*(P160/100)</f>
        <v>218389.2144</v>
      </c>
      <c r="AA160" s="84">
        <v>0.43</v>
      </c>
      <c r="AB160" s="84">
        <v>0.54599998000000005</v>
      </c>
      <c r="AC160" s="84">
        <v>0.68</v>
      </c>
      <c r="AD160">
        <f t="shared" si="34"/>
        <v>92913.153616185242</v>
      </c>
      <c r="AE160" s="84">
        <f t="shared" si="35"/>
        <v>62730.619835074031</v>
      </c>
      <c r="AF160" s="2">
        <f t="shared" si="36"/>
        <v>77821.886725629636</v>
      </c>
    </row>
    <row r="161" spans="2:32" x14ac:dyDescent="0.25">
      <c r="B161" s="32" t="s">
        <v>133</v>
      </c>
      <c r="C161" s="21" t="s">
        <v>399</v>
      </c>
      <c r="D161" s="21" t="s">
        <v>366</v>
      </c>
      <c r="E161" s="21"/>
      <c r="F161" s="20">
        <v>702</v>
      </c>
      <c r="G161" s="31">
        <v>13.954000000000001</v>
      </c>
      <c r="H161" s="31">
        <v>10.172000000000001</v>
      </c>
      <c r="I161" s="31">
        <v>8.1910000000000007</v>
      </c>
      <c r="J161" s="31"/>
      <c r="K161" s="31"/>
      <c r="L161" s="31">
        <v>99.645399999999995</v>
      </c>
      <c r="M161" s="31">
        <v>99.702299999999994</v>
      </c>
      <c r="N161" s="31">
        <v>99.697000000000003</v>
      </c>
      <c r="O161" s="31"/>
      <c r="P161" s="31"/>
      <c r="Q161" s="31">
        <v>3775.42</v>
      </c>
      <c r="R161" s="31">
        <v>4124.68</v>
      </c>
      <c r="S161" s="31">
        <v>4616.5600000000004</v>
      </c>
      <c r="T161" s="31"/>
      <c r="U161" s="31"/>
      <c r="V161" s="31">
        <f t="shared" si="31"/>
        <v>52495.399560928716</v>
      </c>
      <c r="W161" s="31">
        <f t="shared" si="32"/>
        <v>41831.341218754082</v>
      </c>
      <c r="X161" s="31">
        <f t="shared" si="33"/>
        <v>37699.665803831209</v>
      </c>
      <c r="Y161" s="31"/>
      <c r="Z161" s="31"/>
      <c r="AA161" s="2">
        <v>0.97400002000000008</v>
      </c>
      <c r="AB161" s="2">
        <v>0.95800003</v>
      </c>
      <c r="AC161" s="2">
        <v>0.96199997000000004</v>
      </c>
      <c r="AD161">
        <f t="shared" si="34"/>
        <v>40074.426142506643</v>
      </c>
      <c r="AE161" s="84">
        <f t="shared" si="35"/>
        <v>1432.5884315355586</v>
      </c>
      <c r="AF161" s="2">
        <f t="shared" si="36"/>
        <v>20753.507287021101</v>
      </c>
    </row>
    <row r="162" spans="2:32" x14ac:dyDescent="0.25">
      <c r="B162" s="32" t="s">
        <v>132</v>
      </c>
      <c r="C162" s="21" t="s">
        <v>398</v>
      </c>
      <c r="D162" s="21" t="s">
        <v>366</v>
      </c>
      <c r="E162" s="21"/>
      <c r="F162" s="20">
        <v>703</v>
      </c>
      <c r="G162" s="31">
        <v>10.821999999999999</v>
      </c>
      <c r="H162" s="31">
        <v>9.6609999999999996</v>
      </c>
      <c r="I162" s="31">
        <v>10.176</v>
      </c>
      <c r="J162" s="31"/>
      <c r="K162" s="31"/>
      <c r="L162" s="31">
        <v>99.073700000000002</v>
      </c>
      <c r="M162" s="31">
        <v>99.259299999999996</v>
      </c>
      <c r="N162" s="31">
        <v>99.308300000000003</v>
      </c>
      <c r="O162" s="31"/>
      <c r="P162" s="31"/>
      <c r="Q162" s="31">
        <v>5381.2947999999997</v>
      </c>
      <c r="R162" s="31">
        <v>5381.7680999999993</v>
      </c>
      <c r="S162" s="31">
        <v>5400.1017999999995</v>
      </c>
      <c r="T162" s="31"/>
      <c r="U162" s="31"/>
      <c r="V162" s="31">
        <f t="shared" si="31"/>
        <v>57696.928808747958</v>
      </c>
      <c r="W162" s="31">
        <f t="shared" si="32"/>
        <v>51608.147525324348</v>
      </c>
      <c r="X162" s="31">
        <f t="shared" si="33"/>
        <v>54571.336834563495</v>
      </c>
      <c r="Y162" s="31"/>
      <c r="Z162" s="31"/>
      <c r="AA162" s="2">
        <v>0.99</v>
      </c>
      <c r="AB162" s="2">
        <v>0.99</v>
      </c>
      <c r="AC162" s="2">
        <v>0.99</v>
      </c>
      <c r="AD162">
        <f t="shared" si="34"/>
        <v>51092.066050071102</v>
      </c>
      <c r="AE162" s="84">
        <f t="shared" si="35"/>
        <v>545.71336834563544</v>
      </c>
      <c r="AF162" s="2">
        <f t="shared" si="36"/>
        <v>25818.889709208368</v>
      </c>
    </row>
    <row r="163" spans="2:32" x14ac:dyDescent="0.25">
      <c r="B163" s="32" t="s">
        <v>131</v>
      </c>
      <c r="C163" s="21" t="s">
        <v>397</v>
      </c>
      <c r="D163" s="21" t="s">
        <v>366</v>
      </c>
      <c r="E163" s="21"/>
      <c r="F163" s="20">
        <v>705</v>
      </c>
      <c r="G163" s="31">
        <v>9.1590000000000007</v>
      </c>
      <c r="H163" s="31">
        <v>8.8640000000000008</v>
      </c>
      <c r="I163" s="31">
        <v>9.6280000000000001</v>
      </c>
      <c r="J163" s="31"/>
      <c r="K163" s="31"/>
      <c r="L163" s="31">
        <v>99.503100000000003</v>
      </c>
      <c r="M163" s="31">
        <v>99.588800000000006</v>
      </c>
      <c r="N163" s="31">
        <v>99.625600000000006</v>
      </c>
      <c r="O163" s="31"/>
      <c r="P163" s="31"/>
      <c r="Q163" s="31">
        <v>1987.0111999999999</v>
      </c>
      <c r="R163" s="31">
        <v>1993.54</v>
      </c>
      <c r="S163" s="31">
        <v>2018.0093999999999</v>
      </c>
      <c r="T163" s="31"/>
      <c r="U163" s="31"/>
      <c r="V163" s="31">
        <f t="shared" si="31"/>
        <v>18108.604572999007</v>
      </c>
      <c r="W163" s="31">
        <f t="shared" si="32"/>
        <v>17598.076483041285</v>
      </c>
      <c r="X163" s="31">
        <f t="shared" si="33"/>
        <v>19356.650850180024</v>
      </c>
      <c r="Y163" s="31"/>
      <c r="Z163" s="31"/>
      <c r="AA163" s="2">
        <v>0.94599997999999996</v>
      </c>
      <c r="AB163" s="2">
        <v>0.93</v>
      </c>
      <c r="AC163" s="2">
        <v>0.96400002000000007</v>
      </c>
      <c r="AD163">
        <f t="shared" si="34"/>
        <v>16366.211129228395</v>
      </c>
      <c r="AE163" s="84">
        <f t="shared" si="35"/>
        <v>696.83904347346254</v>
      </c>
      <c r="AF163" s="2">
        <f t="shared" si="36"/>
        <v>8531.5250863509282</v>
      </c>
    </row>
    <row r="164" spans="2:32" hidden="1" x14ac:dyDescent="0.25">
      <c r="B164" s="32" t="s">
        <v>74</v>
      </c>
      <c r="C164" s="21" t="s">
        <v>396</v>
      </c>
      <c r="D164" s="21" t="s">
        <v>356</v>
      </c>
      <c r="E164" s="21"/>
      <c r="F164" s="20">
        <v>90</v>
      </c>
      <c r="G164" s="31">
        <v>36.326000000000001</v>
      </c>
      <c r="H164" s="31">
        <v>33.527999999999999</v>
      </c>
      <c r="I164" s="31">
        <v>30.79</v>
      </c>
      <c r="J164" s="31">
        <v>30.4</v>
      </c>
      <c r="K164" s="31">
        <v>28</v>
      </c>
      <c r="L164" s="31">
        <v>93.362899999999996</v>
      </c>
      <c r="M164" s="31">
        <v>94.521299999999997</v>
      </c>
      <c r="N164" s="31">
        <v>95.569400000000002</v>
      </c>
      <c r="O164" s="31">
        <f>100-3.46</f>
        <v>96.54</v>
      </c>
      <c r="P164" s="31">
        <f>100-2.86</f>
        <v>97.14</v>
      </c>
      <c r="Q164" s="31">
        <v>382.93119999999999</v>
      </c>
      <c r="R164" s="31">
        <v>438.48700000000002</v>
      </c>
      <c r="S164" s="31">
        <v>498.35340000000002</v>
      </c>
      <c r="T164" s="31">
        <v>610</v>
      </c>
      <c r="U164" s="31">
        <v>684</v>
      </c>
      <c r="V164" s="31">
        <f t="shared" si="31"/>
        <v>12987.114349196683</v>
      </c>
      <c r="W164" s="31">
        <f t="shared" si="32"/>
        <v>13896.136007644967</v>
      </c>
      <c r="X164" s="31">
        <f t="shared" si="33"/>
        <v>14664.456577653084</v>
      </c>
      <c r="Y164" s="31">
        <f>J164*T164*(O164/100)</f>
        <v>17902.3776</v>
      </c>
      <c r="Z164" s="31">
        <f>K164*U164*(P164/100)</f>
        <v>18604.252800000002</v>
      </c>
      <c r="AA164" s="84">
        <v>0.73599998</v>
      </c>
      <c r="AB164" s="84">
        <v>0.77400002000000001</v>
      </c>
      <c r="AC164" s="84">
        <v>0.81400002000000005</v>
      </c>
      <c r="AD164">
        <f t="shared" si="34"/>
        <v>10755.609547839926</v>
      </c>
      <c r="AE164" s="84">
        <f t="shared" si="35"/>
        <v>2727.5886301543414</v>
      </c>
      <c r="AF164" s="2">
        <f t="shared" si="36"/>
        <v>6741.5990889971335</v>
      </c>
    </row>
    <row r="165" spans="2:32" hidden="1" x14ac:dyDescent="0.25">
      <c r="B165" s="32" t="s">
        <v>130</v>
      </c>
      <c r="C165" s="21" t="s">
        <v>395</v>
      </c>
      <c r="D165" s="21" t="s">
        <v>353</v>
      </c>
      <c r="E165" s="21"/>
      <c r="F165" s="20">
        <v>706</v>
      </c>
      <c r="G165" s="31">
        <v>45.914999999999999</v>
      </c>
      <c r="H165" s="31">
        <v>45.655000000000001</v>
      </c>
      <c r="I165" s="31">
        <v>44.238999999999997</v>
      </c>
      <c r="J165" s="31">
        <v>43</v>
      </c>
      <c r="K165" s="31">
        <v>42.8</v>
      </c>
      <c r="L165" s="31">
        <v>87.753900000000002</v>
      </c>
      <c r="M165" s="31">
        <v>88.951599999999999</v>
      </c>
      <c r="N165" s="31">
        <v>89.054100000000005</v>
      </c>
      <c r="O165" s="31">
        <f>100-10</f>
        <v>90</v>
      </c>
      <c r="P165" s="31">
        <f>100-9.24</f>
        <v>90.76</v>
      </c>
      <c r="Q165" s="31">
        <v>6819.1210000000001</v>
      </c>
      <c r="R165" s="31">
        <v>7781.6035999999995</v>
      </c>
      <c r="S165" s="31">
        <v>8737.9591999999993</v>
      </c>
      <c r="T165" s="31">
        <v>10607</v>
      </c>
      <c r="U165" s="31">
        <v>12237</v>
      </c>
      <c r="V165" s="31">
        <f t="shared" ref="V165:V200" si="38">+Q165*G165*L165/100</f>
        <v>274757.40887510037</v>
      </c>
      <c r="W165" s="31">
        <f t="shared" ref="W165:W200" si="39">+R165*H165*M165/100</f>
        <v>316017.55974823871</v>
      </c>
      <c r="X165" s="31">
        <f t="shared" ref="X165:X200" si="40">+S165*I165*N165/100</f>
        <v>344246.26176361536</v>
      </c>
      <c r="Y165" s="31">
        <f>J165*T165*(O165/100)</f>
        <v>410490.9</v>
      </c>
      <c r="Z165" s="31">
        <f>K165*U165*(P165/100)</f>
        <v>475349.69136</v>
      </c>
      <c r="AA165" s="84">
        <v>0.25200001</v>
      </c>
      <c r="AB165" s="84">
        <v>0.35200001000000003</v>
      </c>
      <c r="AC165" s="84">
        <v>0.34200001000000002</v>
      </c>
      <c r="AD165">
        <f t="shared" ref="AD165:AD200" si="41">W165*AB165</f>
        <v>111238.18419155563</v>
      </c>
      <c r="AE165" s="84">
        <f t="shared" ref="AE165:AE200" si="42">X165*(1-AC165)</f>
        <v>226514.03679799629</v>
      </c>
      <c r="AF165" s="2">
        <f t="shared" ref="AF165:AF196" si="43">AVERAGE(AD165:AE165)</f>
        <v>168876.11049477596</v>
      </c>
    </row>
    <row r="166" spans="2:32" hidden="1" x14ac:dyDescent="0.25">
      <c r="B166" s="32" t="s">
        <v>129</v>
      </c>
      <c r="C166" s="21" t="s">
        <v>394</v>
      </c>
      <c r="D166" s="21" t="s">
        <v>361</v>
      </c>
      <c r="E166" s="21"/>
      <c r="F166" s="20">
        <v>710</v>
      </c>
      <c r="G166" s="31">
        <v>25.212</v>
      </c>
      <c r="H166" s="31">
        <v>24.201000000000001</v>
      </c>
      <c r="I166" s="31">
        <v>22.113</v>
      </c>
      <c r="J166" s="31"/>
      <c r="K166" s="31"/>
      <c r="L166" s="31">
        <v>94.327200000000005</v>
      </c>
      <c r="M166" s="31">
        <v>94.094800000000006</v>
      </c>
      <c r="N166" s="31">
        <v>95.088800000000006</v>
      </c>
      <c r="O166" s="31"/>
      <c r="P166" s="31"/>
      <c r="Q166" s="31">
        <v>40973.894999999997</v>
      </c>
      <c r="R166" s="31">
        <v>45444.858999999997</v>
      </c>
      <c r="S166" s="31">
        <v>48259.974000000002</v>
      </c>
      <c r="T166" s="31"/>
      <c r="U166" s="31"/>
      <c r="V166" s="31">
        <f t="shared" si="38"/>
        <v>974431.89702250122</v>
      </c>
      <c r="W166" s="31">
        <f t="shared" si="39"/>
        <v>1034864.9915584208</v>
      </c>
      <c r="X166" s="31">
        <f t="shared" si="40"/>
        <v>1014761.8142597951</v>
      </c>
      <c r="Y166" s="31"/>
      <c r="Z166" s="31"/>
      <c r="AA166" s="2">
        <v>0.74</v>
      </c>
      <c r="AB166" s="2">
        <v>0.70400002000000006</v>
      </c>
      <c r="AC166" s="2">
        <v>0.69000000000000006</v>
      </c>
      <c r="AD166">
        <f t="shared" si="41"/>
        <v>728544.97475442814</v>
      </c>
      <c r="AE166" s="84">
        <f t="shared" si="42"/>
        <v>314576.16242053645</v>
      </c>
      <c r="AF166" s="2">
        <f t="shared" si="43"/>
        <v>521560.56858748232</v>
      </c>
    </row>
    <row r="167" spans="2:32" x14ac:dyDescent="0.25">
      <c r="B167" s="32" t="s">
        <v>128</v>
      </c>
      <c r="C167" s="21" t="s">
        <v>393</v>
      </c>
      <c r="D167" s="21" t="s">
        <v>366</v>
      </c>
      <c r="E167" s="21"/>
      <c r="F167" s="20">
        <v>724</v>
      </c>
      <c r="G167" s="31">
        <v>9.3339999999999996</v>
      </c>
      <c r="H167" s="31">
        <v>10.297000000000001</v>
      </c>
      <c r="I167" s="31">
        <v>11.016</v>
      </c>
      <c r="J167" s="31"/>
      <c r="K167" s="31"/>
      <c r="L167" s="31">
        <v>99.501499999999993</v>
      </c>
      <c r="M167" s="31">
        <v>99.590299999999999</v>
      </c>
      <c r="N167" s="31">
        <v>99.608999999999995</v>
      </c>
      <c r="O167" s="31"/>
      <c r="P167" s="31"/>
      <c r="Q167" s="31">
        <v>39618.980000000003</v>
      </c>
      <c r="R167" s="31">
        <v>41398.75</v>
      </c>
      <c r="S167" s="31">
        <v>44781.385000000002</v>
      </c>
      <c r="T167" s="31"/>
      <c r="U167" s="31"/>
      <c r="V167" s="31">
        <f t="shared" si="38"/>
        <v>367960.08857678977</v>
      </c>
      <c r="W167" s="31">
        <f t="shared" si="39"/>
        <v>424536.44759091124</v>
      </c>
      <c r="X167" s="31">
        <f t="shared" si="40"/>
        <v>491382.8882677044</v>
      </c>
      <c r="Y167" s="31"/>
      <c r="Z167" s="31"/>
      <c r="AA167" s="2">
        <v>0.92800003000000009</v>
      </c>
      <c r="AB167" s="2">
        <v>0.96800003000000001</v>
      </c>
      <c r="AC167" s="2">
        <v>0.96599997999999998</v>
      </c>
      <c r="AD167">
        <f t="shared" si="41"/>
        <v>410951.29400409549</v>
      </c>
      <c r="AE167" s="84">
        <f t="shared" si="42"/>
        <v>16707.028028759723</v>
      </c>
      <c r="AF167" s="2">
        <f t="shared" si="43"/>
        <v>213829.16101642759</v>
      </c>
    </row>
    <row r="168" spans="2:32" hidden="1" x14ac:dyDescent="0.25">
      <c r="B168" s="32" t="s">
        <v>22</v>
      </c>
      <c r="C168" s="21" t="s">
        <v>392</v>
      </c>
      <c r="D168" s="21" t="s">
        <v>356</v>
      </c>
      <c r="E168" s="21"/>
      <c r="F168" s="20">
        <v>144</v>
      </c>
      <c r="G168" s="31">
        <v>17.815999999999999</v>
      </c>
      <c r="H168" s="31">
        <v>18.809000000000001</v>
      </c>
      <c r="I168" s="31">
        <v>18.286999999999999</v>
      </c>
      <c r="J168" s="31">
        <v>17</v>
      </c>
      <c r="K168" s="31">
        <v>15.1</v>
      </c>
      <c r="L168" s="31">
        <v>98.021699999999996</v>
      </c>
      <c r="M168" s="31">
        <v>98.263099999999994</v>
      </c>
      <c r="N168" s="31">
        <v>98.413600000000002</v>
      </c>
      <c r="O168" s="31">
        <f>100-1.12</f>
        <v>98.88</v>
      </c>
      <c r="P168" s="31">
        <f>100-1.02</f>
        <v>98.98</v>
      </c>
      <c r="Q168" s="31">
        <v>18359.550999999999</v>
      </c>
      <c r="R168" s="31">
        <v>19013.342000000001</v>
      </c>
      <c r="S168" s="31">
        <v>20004.736000000001</v>
      </c>
      <c r="T168" s="31">
        <v>21709</v>
      </c>
      <c r="U168" s="31">
        <v>22344</v>
      </c>
      <c r="V168" s="31">
        <f t="shared" si="38"/>
        <v>320622.86474973365</v>
      </c>
      <c r="W168" s="31">
        <f t="shared" si="39"/>
        <v>351410.4140340428</v>
      </c>
      <c r="X168" s="31">
        <f t="shared" si="40"/>
        <v>360023.13393487153</v>
      </c>
      <c r="Y168" s="31">
        <f>J168*T168*(O168/100)</f>
        <v>364919.60639999999</v>
      </c>
      <c r="Z168" s="31">
        <f>K168*U168*(P168/100)</f>
        <v>333952.97712</v>
      </c>
      <c r="AA168" s="84">
        <v>0.95000000000000007</v>
      </c>
      <c r="AB168" s="84">
        <v>0.98400001999999998</v>
      </c>
      <c r="AC168" s="84">
        <v>0.98</v>
      </c>
      <c r="AD168">
        <f t="shared" si="41"/>
        <v>345787.85443770641</v>
      </c>
      <c r="AE168" s="84">
        <f t="shared" si="42"/>
        <v>7200.4626786974368</v>
      </c>
      <c r="AF168" s="2">
        <f t="shared" si="43"/>
        <v>176494.15855820192</v>
      </c>
    </row>
    <row r="169" spans="2:32" hidden="1" x14ac:dyDescent="0.25">
      <c r="B169" s="32" t="s">
        <v>21</v>
      </c>
      <c r="C169" s="21" t="s">
        <v>391</v>
      </c>
      <c r="D169" s="21" t="s">
        <v>356</v>
      </c>
      <c r="E169" s="21"/>
      <c r="F169" s="20">
        <v>736</v>
      </c>
      <c r="G169" s="31">
        <v>38.055999999999997</v>
      </c>
      <c r="H169" s="31">
        <v>34.517000000000003</v>
      </c>
      <c r="I169" s="31">
        <v>31.616</v>
      </c>
      <c r="J169" s="31">
        <v>31.9</v>
      </c>
      <c r="K169" s="31">
        <v>29.9</v>
      </c>
      <c r="L169" s="31">
        <v>91.898600000000002</v>
      </c>
      <c r="M169" s="31">
        <v>92.67</v>
      </c>
      <c r="N169" s="31">
        <v>93.091700000000003</v>
      </c>
      <c r="O169" s="31">
        <f>100-5.73</f>
        <v>94.27</v>
      </c>
      <c r="P169" s="31">
        <f>100-5.09</f>
        <v>94.91</v>
      </c>
      <c r="Q169" s="31">
        <v>32474.608</v>
      </c>
      <c r="R169" s="31">
        <v>36403.968999999997</v>
      </c>
      <c r="S169" s="31">
        <v>40459.197999999997</v>
      </c>
      <c r="T169" s="31">
        <v>49072</v>
      </c>
      <c r="U169" s="31">
        <v>54919</v>
      </c>
      <c r="V169" s="31">
        <f t="shared" si="38"/>
        <v>1135732.2318505633</v>
      </c>
      <c r="W169" s="31">
        <f t="shared" si="39"/>
        <v>1164450.2579815791</v>
      </c>
      <c r="X169" s="31">
        <f t="shared" si="40"/>
        <v>1190789.9315798786</v>
      </c>
      <c r="Y169" s="31">
        <f>J169*T169*(O169/100)</f>
        <v>1475699.56336</v>
      </c>
      <c r="Z169" s="31">
        <f>K169*U169*(P169/100)</f>
        <v>1558496.3247099998</v>
      </c>
      <c r="AA169" s="84">
        <v>0.52</v>
      </c>
      <c r="AB169" s="84">
        <v>0.66199996999999999</v>
      </c>
      <c r="AC169" s="84">
        <v>0.82000000000000006</v>
      </c>
      <c r="AD169">
        <f t="shared" si="41"/>
        <v>770866.03585029754</v>
      </c>
      <c r="AE169" s="84">
        <f t="shared" si="42"/>
        <v>214342.18768437806</v>
      </c>
      <c r="AF169" s="2">
        <f t="shared" si="43"/>
        <v>492604.11176733777</v>
      </c>
    </row>
    <row r="170" spans="2:32" hidden="1" x14ac:dyDescent="0.25">
      <c r="B170" s="32" t="s">
        <v>127</v>
      </c>
      <c r="C170" s="21" t="s">
        <v>390</v>
      </c>
      <c r="D170" s="21" t="s">
        <v>361</v>
      </c>
      <c r="E170" s="21"/>
      <c r="F170" s="20">
        <v>740</v>
      </c>
      <c r="G170" s="31">
        <v>23.613</v>
      </c>
      <c r="H170" s="31">
        <v>21.04</v>
      </c>
      <c r="I170" s="31">
        <v>19.120999999999999</v>
      </c>
      <c r="J170" s="31"/>
      <c r="K170" s="31"/>
      <c r="L170" s="31">
        <v>97.138800000000003</v>
      </c>
      <c r="M170" s="31">
        <v>97.625200000000007</v>
      </c>
      <c r="N170" s="31">
        <v>97.782399999999996</v>
      </c>
      <c r="O170" s="31"/>
      <c r="P170" s="31"/>
      <c r="Q170" s="31">
        <v>448.13259999999997</v>
      </c>
      <c r="R170" s="31">
        <v>480.52279999999996</v>
      </c>
      <c r="S170" s="31">
        <v>510.05440000000004</v>
      </c>
      <c r="T170" s="31"/>
      <c r="U170" s="31"/>
      <c r="V170" s="31">
        <f t="shared" si="38"/>
        <v>10278.989907342313</v>
      </c>
      <c r="W170" s="31">
        <f t="shared" si="39"/>
        <v>9870.1026892394239</v>
      </c>
      <c r="X170" s="31">
        <f t="shared" si="40"/>
        <v>9536.4731943550978</v>
      </c>
      <c r="Y170" s="31"/>
      <c r="Z170" s="31"/>
      <c r="AA170" s="2">
        <v>0.85</v>
      </c>
      <c r="AB170" s="2">
        <v>0.74400001999999998</v>
      </c>
      <c r="AC170" s="2">
        <v>0.84599997999999998</v>
      </c>
      <c r="AD170">
        <f t="shared" si="41"/>
        <v>7343.3565981961847</v>
      </c>
      <c r="AE170" s="84">
        <f t="shared" si="42"/>
        <v>1468.617062660149</v>
      </c>
      <c r="AF170" s="2">
        <f t="shared" si="43"/>
        <v>4405.9868304281672</v>
      </c>
    </row>
    <row r="171" spans="2:32" hidden="1" x14ac:dyDescent="0.25">
      <c r="B171" s="32" t="s">
        <v>20</v>
      </c>
      <c r="C171" s="21" t="s">
        <v>389</v>
      </c>
      <c r="D171" s="21" t="s">
        <v>356</v>
      </c>
      <c r="E171" s="21"/>
      <c r="F171" s="20">
        <v>748</v>
      </c>
      <c r="G171" s="31">
        <v>34.331000000000003</v>
      </c>
      <c r="H171" s="31">
        <v>31.905000000000001</v>
      </c>
      <c r="I171" s="31">
        <v>30.013999999999999</v>
      </c>
      <c r="J171" s="31">
        <v>28.7</v>
      </c>
      <c r="K171" s="31">
        <v>26.8</v>
      </c>
      <c r="L171" s="31">
        <v>92.306799999999996</v>
      </c>
      <c r="M171" s="31">
        <v>91.779399999999995</v>
      </c>
      <c r="N171" s="31">
        <v>93.429199999999994</v>
      </c>
      <c r="O171" s="31">
        <f>100-6.46</f>
        <v>93.54</v>
      </c>
      <c r="P171" s="31">
        <f>100-5.79</f>
        <v>94.21</v>
      </c>
      <c r="Q171" s="31">
        <v>1016.1052</v>
      </c>
      <c r="R171" s="31">
        <v>1099.2343999999998</v>
      </c>
      <c r="S171" s="31">
        <v>1153.0581999999999</v>
      </c>
      <c r="T171" s="31">
        <v>1269</v>
      </c>
      <c r="U171" s="31">
        <v>1341</v>
      </c>
      <c r="V171" s="31">
        <f t="shared" si="38"/>
        <v>32200.218840085839</v>
      </c>
      <c r="W171" s="31">
        <f t="shared" si="39"/>
        <v>32188.0208612284</v>
      </c>
      <c r="X171" s="31">
        <f t="shared" si="40"/>
        <v>32333.87365655712</v>
      </c>
      <c r="Y171" s="31">
        <f>J171*T171*(O171/100)</f>
        <v>34067.548619999994</v>
      </c>
      <c r="Z171" s="31">
        <f>K171*U171*(P171/100)</f>
        <v>33857.943480000002</v>
      </c>
      <c r="AA171" s="84">
        <v>0.83000000000000007</v>
      </c>
      <c r="AB171" s="84">
        <v>0.90199996999999998</v>
      </c>
      <c r="AC171" s="84">
        <v>0.95000000000000007</v>
      </c>
      <c r="AD171">
        <f t="shared" si="41"/>
        <v>29033.59385118739</v>
      </c>
      <c r="AE171" s="84">
        <f t="shared" si="42"/>
        <v>1616.6936828278538</v>
      </c>
      <c r="AF171" s="2">
        <f t="shared" si="43"/>
        <v>15325.143767007621</v>
      </c>
    </row>
    <row r="172" spans="2:32" x14ac:dyDescent="0.25">
      <c r="B172" s="32" t="s">
        <v>126</v>
      </c>
      <c r="C172" s="21" t="s">
        <v>388</v>
      </c>
      <c r="D172" s="21" t="s">
        <v>366</v>
      </c>
      <c r="E172" s="21"/>
      <c r="F172" s="20">
        <v>752</v>
      </c>
      <c r="G172" s="31">
        <v>10.340999999999999</v>
      </c>
      <c r="H172" s="31">
        <v>10.837999999999999</v>
      </c>
      <c r="I172" s="31">
        <v>11.72</v>
      </c>
      <c r="J172" s="31"/>
      <c r="K172" s="31"/>
      <c r="L172" s="31">
        <v>99.667599999999993</v>
      </c>
      <c r="M172" s="31">
        <v>99.681600000000003</v>
      </c>
      <c r="N172" s="31">
        <v>99.693100000000001</v>
      </c>
      <c r="O172" s="31"/>
      <c r="P172" s="31"/>
      <c r="Q172" s="31">
        <v>8846.5274000000009</v>
      </c>
      <c r="R172" s="31">
        <v>8926.9988000000012</v>
      </c>
      <c r="S172" s="31">
        <v>9154.8793999999998</v>
      </c>
      <c r="T172" s="31"/>
      <c r="U172" s="31"/>
      <c r="V172" s="31">
        <f t="shared" si="38"/>
        <v>91177.853875360524</v>
      </c>
      <c r="W172" s="31">
        <f t="shared" si="39"/>
        <v>96442.758405825851</v>
      </c>
      <c r="X172" s="31">
        <f t="shared" si="40"/>
        <v>106965.8976404228</v>
      </c>
      <c r="Y172" s="31"/>
      <c r="Z172" s="31"/>
      <c r="AA172" s="2">
        <v>0.99</v>
      </c>
      <c r="AB172" s="2">
        <v>0.99</v>
      </c>
      <c r="AC172" s="2">
        <v>0.98</v>
      </c>
      <c r="AD172">
        <f t="shared" si="41"/>
        <v>95478.330821767595</v>
      </c>
      <c r="AE172" s="84">
        <f t="shared" si="42"/>
        <v>2139.3179528084579</v>
      </c>
      <c r="AF172" s="2">
        <f t="shared" si="43"/>
        <v>48808.824387288027</v>
      </c>
    </row>
    <row r="173" spans="2:32" x14ac:dyDescent="0.25">
      <c r="B173" s="32" t="s">
        <v>125</v>
      </c>
      <c r="C173" s="21" t="s">
        <v>387</v>
      </c>
      <c r="D173" s="21" t="s">
        <v>366</v>
      </c>
      <c r="E173" s="21"/>
      <c r="F173" s="20">
        <v>756</v>
      </c>
      <c r="G173" s="31">
        <v>11.010999999999999</v>
      </c>
      <c r="H173" s="31">
        <v>9.9480000000000004</v>
      </c>
      <c r="I173" s="31">
        <v>9.69</v>
      </c>
      <c r="J173" s="31"/>
      <c r="K173" s="31"/>
      <c r="L173" s="31">
        <v>99.526799999999994</v>
      </c>
      <c r="M173" s="31">
        <v>99.563199999999995</v>
      </c>
      <c r="N173" s="31">
        <v>99.590900000000005</v>
      </c>
      <c r="O173" s="31"/>
      <c r="P173" s="31"/>
      <c r="Q173" s="31">
        <v>7090.6</v>
      </c>
      <c r="R173" s="31">
        <v>7285.4526999999998</v>
      </c>
      <c r="S173" s="31">
        <v>7570.1985999999997</v>
      </c>
      <c r="T173" s="31"/>
      <c r="U173" s="31"/>
      <c r="V173" s="31">
        <f t="shared" si="38"/>
        <v>77705.147608888801</v>
      </c>
      <c r="W173" s="31">
        <f t="shared" si="39"/>
        <v>72159.109674248466</v>
      </c>
      <c r="X173" s="31">
        <f t="shared" si="40"/>
        <v>73055.128210840499</v>
      </c>
      <c r="Y173" s="31"/>
      <c r="Z173" s="31"/>
      <c r="AA173" s="2">
        <v>0.88599998000000002</v>
      </c>
      <c r="AB173" s="2">
        <v>0.92</v>
      </c>
      <c r="AC173" s="2">
        <v>0.94400002000000005</v>
      </c>
      <c r="AD173">
        <f t="shared" si="41"/>
        <v>66386.380900308592</v>
      </c>
      <c r="AE173" s="84">
        <f t="shared" si="42"/>
        <v>4091.0857187044999</v>
      </c>
      <c r="AF173" s="2">
        <f t="shared" si="43"/>
        <v>35238.733309506548</v>
      </c>
    </row>
    <row r="174" spans="2:32" hidden="1" x14ac:dyDescent="0.25">
      <c r="B174" s="32" t="s">
        <v>19</v>
      </c>
      <c r="C174" s="21" t="s">
        <v>386</v>
      </c>
      <c r="D174" s="21" t="s">
        <v>356</v>
      </c>
      <c r="E174" s="21"/>
      <c r="F174" s="20">
        <v>760</v>
      </c>
      <c r="G174" s="31">
        <v>29.981999999999999</v>
      </c>
      <c r="H174" s="31">
        <v>29.515000000000001</v>
      </c>
      <c r="I174" s="31">
        <v>28.231000000000002</v>
      </c>
      <c r="J174" s="31">
        <v>21.9</v>
      </c>
      <c r="K174" s="31">
        <v>20.7</v>
      </c>
      <c r="L174" s="31">
        <v>97.652100000000004</v>
      </c>
      <c r="M174" s="31">
        <v>98.143100000000004</v>
      </c>
      <c r="N174" s="31">
        <v>98.399299999999997</v>
      </c>
      <c r="O174" s="31">
        <f>100-1.38</f>
        <v>98.62</v>
      </c>
      <c r="P174" s="31">
        <f>100-1.25</f>
        <v>98.75</v>
      </c>
      <c r="Q174" s="31">
        <v>15341.968999999999</v>
      </c>
      <c r="R174" s="31">
        <v>17474.672999999999</v>
      </c>
      <c r="S174" s="31">
        <v>20094.776999999998</v>
      </c>
      <c r="T174" s="31">
        <v>22184</v>
      </c>
      <c r="U174" s="31">
        <v>24079</v>
      </c>
      <c r="V174" s="31">
        <f t="shared" si="38"/>
        <v>449182.97570709273</v>
      </c>
      <c r="W174" s="31">
        <f t="shared" si="39"/>
        <v>506187.73380031443</v>
      </c>
      <c r="X174" s="31">
        <f t="shared" si="40"/>
        <v>558214.94802566152</v>
      </c>
      <c r="Y174" s="31">
        <f>J174*T174*(O174/100)</f>
        <v>479125.15152000001</v>
      </c>
      <c r="Z174" s="31">
        <f>K174*U174*(P174/100)</f>
        <v>492204.85875000001</v>
      </c>
      <c r="AA174" s="84">
        <v>0.87</v>
      </c>
      <c r="AB174" s="84">
        <v>0.82800003000000011</v>
      </c>
      <c r="AC174" s="84">
        <v>0.8</v>
      </c>
      <c r="AD174">
        <f t="shared" si="41"/>
        <v>419123.45877229242</v>
      </c>
      <c r="AE174" s="84">
        <f t="shared" si="42"/>
        <v>111642.98960513227</v>
      </c>
      <c r="AF174" s="2">
        <f t="shared" si="43"/>
        <v>265383.22418871237</v>
      </c>
    </row>
    <row r="175" spans="2:32" hidden="1" x14ac:dyDescent="0.25">
      <c r="B175" s="32" t="s">
        <v>72</v>
      </c>
      <c r="C175" s="21" t="s">
        <v>385</v>
      </c>
      <c r="D175" s="21" t="s">
        <v>353</v>
      </c>
      <c r="E175" s="21"/>
      <c r="F175" s="20">
        <v>762</v>
      </c>
      <c r="G175" s="31">
        <v>32.706000000000003</v>
      </c>
      <c r="H175" s="31">
        <v>29.405999999999999</v>
      </c>
      <c r="I175" s="31">
        <v>28.138999999999999</v>
      </c>
      <c r="J175" s="31">
        <v>27.7</v>
      </c>
      <c r="K175" s="31">
        <v>26.4</v>
      </c>
      <c r="L175" s="31">
        <v>92.041499999999999</v>
      </c>
      <c r="M175" s="31">
        <v>93.6982</v>
      </c>
      <c r="N175" s="31">
        <v>93.983699999999999</v>
      </c>
      <c r="O175" s="31">
        <f>100-5.09</f>
        <v>94.91</v>
      </c>
      <c r="P175" s="31">
        <f>100-4.65</f>
        <v>95.35</v>
      </c>
      <c r="Q175" s="31">
        <v>5938.9875999999995</v>
      </c>
      <c r="R175" s="31">
        <v>6311.7622000000001</v>
      </c>
      <c r="S175" s="31">
        <v>6735.6581999999999</v>
      </c>
      <c r="T175" s="31">
        <v>7400</v>
      </c>
      <c r="U175" s="31">
        <v>7961</v>
      </c>
      <c r="V175" s="31">
        <f t="shared" si="38"/>
        <v>178781.89598925694</v>
      </c>
      <c r="W175" s="31">
        <f t="shared" si="39"/>
        <v>173907.30659402185</v>
      </c>
      <c r="X175" s="31">
        <f t="shared" si="40"/>
        <v>178131.71077057935</v>
      </c>
      <c r="Y175" s="31">
        <f>J175*T175*(O175/100)</f>
        <v>194546.51799999998</v>
      </c>
      <c r="Z175" s="31">
        <f>K175*U175*(P175/100)</f>
        <v>200397.47639999999</v>
      </c>
      <c r="AA175" s="84">
        <v>0.79400002000000003</v>
      </c>
      <c r="AB175" s="84">
        <v>0.84400002000000007</v>
      </c>
      <c r="AC175" s="84">
        <v>0.87400001999999999</v>
      </c>
      <c r="AD175">
        <f t="shared" si="41"/>
        <v>146777.77024350059</v>
      </c>
      <c r="AE175" s="84">
        <f t="shared" si="42"/>
        <v>22444.591994458784</v>
      </c>
      <c r="AF175" s="2">
        <f t="shared" si="43"/>
        <v>84611.181118979686</v>
      </c>
    </row>
    <row r="176" spans="2:32" hidden="1" x14ac:dyDescent="0.25">
      <c r="B176" s="32" t="s">
        <v>384</v>
      </c>
      <c r="C176" s="18" t="s">
        <v>383</v>
      </c>
      <c r="D176" s="21" t="s">
        <v>361</v>
      </c>
      <c r="E176" s="21">
        <v>13</v>
      </c>
      <c r="F176" s="20">
        <v>807</v>
      </c>
      <c r="G176" s="31">
        <v>13.798</v>
      </c>
      <c r="H176" s="31">
        <v>11.906000000000001</v>
      </c>
      <c r="I176" s="31">
        <v>10.917999999999999</v>
      </c>
      <c r="J176" s="31"/>
      <c r="K176" s="31"/>
      <c r="L176" s="31">
        <v>98.143699999999995</v>
      </c>
      <c r="M176" s="31">
        <v>98.347899999999996</v>
      </c>
      <c r="N176" s="31">
        <v>98.5154</v>
      </c>
      <c r="O176" s="31"/>
      <c r="P176" s="31"/>
      <c r="Q176" s="31">
        <v>1983.8653999999999</v>
      </c>
      <c r="R176" s="31">
        <v>2022.9026000000001</v>
      </c>
      <c r="S176" s="31">
        <v>2039.3678</v>
      </c>
      <c r="T176" s="31"/>
      <c r="U176" s="31"/>
      <c r="V176" s="31">
        <f t="shared" si="38"/>
        <v>26865.242832988079</v>
      </c>
      <c r="W176" s="31">
        <f t="shared" si="39"/>
        <v>23686.775384487133</v>
      </c>
      <c r="X176" s="31">
        <f t="shared" si="40"/>
        <v>21935.259311710619</v>
      </c>
      <c r="Y176" s="31"/>
      <c r="Z176" s="31"/>
      <c r="AA176" s="2">
        <v>0.9480000300000001</v>
      </c>
      <c r="AB176" s="2">
        <v>0.94400002000000005</v>
      </c>
      <c r="AC176" s="2">
        <v>0.95199997000000003</v>
      </c>
      <c r="AD176">
        <f t="shared" si="41"/>
        <v>22360.316436691362</v>
      </c>
      <c r="AE176" s="84">
        <f t="shared" si="42"/>
        <v>1052.8931050198885</v>
      </c>
      <c r="AF176" s="2">
        <f t="shared" si="43"/>
        <v>11706.604770855625</v>
      </c>
    </row>
    <row r="177" spans="2:32" hidden="1" x14ac:dyDescent="0.25">
      <c r="B177" s="32" t="s">
        <v>18</v>
      </c>
      <c r="C177" s="21" t="s">
        <v>382</v>
      </c>
      <c r="D177" s="21" t="s">
        <v>361</v>
      </c>
      <c r="E177" s="21"/>
      <c r="F177" s="20">
        <v>764</v>
      </c>
      <c r="G177" s="31">
        <v>16.477</v>
      </c>
      <c r="H177" s="31">
        <v>15.279</v>
      </c>
      <c r="I177" s="31">
        <v>14.577</v>
      </c>
      <c r="J177" s="31">
        <v>11.5</v>
      </c>
      <c r="K177" s="31">
        <v>10.4</v>
      </c>
      <c r="L177" s="31">
        <v>98.642399999999995</v>
      </c>
      <c r="M177" s="31">
        <v>99.036199999999994</v>
      </c>
      <c r="N177" s="31">
        <v>99.316999999999993</v>
      </c>
      <c r="O177" s="31">
        <f>100-1.14</f>
        <v>98.86</v>
      </c>
      <c r="P177" s="31">
        <f>100-1.05</f>
        <v>98.95</v>
      </c>
      <c r="Q177" s="31">
        <v>61001.311999999998</v>
      </c>
      <c r="R177" s="31">
        <v>63774.811000000002</v>
      </c>
      <c r="S177" s="31">
        <v>66916.400999999998</v>
      </c>
      <c r="T177" s="31">
        <v>70876</v>
      </c>
      <c r="U177" s="31">
        <v>72091</v>
      </c>
      <c r="V177" s="31">
        <f t="shared" si="38"/>
        <v>991473.12746842136</v>
      </c>
      <c r="W177" s="31">
        <f t="shared" si="39"/>
        <v>965023.92224840133</v>
      </c>
      <c r="X177" s="31">
        <f t="shared" si="40"/>
        <v>968778.11959951487</v>
      </c>
      <c r="Y177" s="31">
        <f t="shared" ref="Y177:Z180" si="44">J177*T177*(O177/100)</f>
        <v>805782.15639999998</v>
      </c>
      <c r="Z177" s="31">
        <f t="shared" si="44"/>
        <v>741874.06280000007</v>
      </c>
      <c r="AA177" s="84">
        <v>0.95599997999999997</v>
      </c>
      <c r="AB177" s="84">
        <v>0.97</v>
      </c>
      <c r="AC177" s="84">
        <v>0.98400001999999998</v>
      </c>
      <c r="AD177">
        <f t="shared" si="41"/>
        <v>936073.20458094927</v>
      </c>
      <c r="AE177" s="84">
        <f t="shared" si="42"/>
        <v>15500.43053802987</v>
      </c>
      <c r="AF177" s="2">
        <f t="shared" si="43"/>
        <v>475786.81755948957</v>
      </c>
    </row>
    <row r="178" spans="2:32" hidden="1" x14ac:dyDescent="0.25">
      <c r="B178" s="32" t="s">
        <v>17</v>
      </c>
      <c r="C178" s="21" t="s">
        <v>381</v>
      </c>
      <c r="D178" s="21"/>
      <c r="E178" s="21"/>
      <c r="F178" s="20">
        <v>626</v>
      </c>
      <c r="G178" s="31">
        <v>45.814</v>
      </c>
      <c r="H178" s="31">
        <v>40.020000000000003</v>
      </c>
      <c r="I178" s="31">
        <v>40.201000000000001</v>
      </c>
      <c r="J178" s="31"/>
      <c r="K178" s="31"/>
      <c r="L178" s="31">
        <v>89.971199999999996</v>
      </c>
      <c r="M178" s="31">
        <v>92.129300000000001</v>
      </c>
      <c r="N178" s="31">
        <v>93.337100000000007</v>
      </c>
      <c r="O178" s="31"/>
      <c r="P178" s="31"/>
      <c r="Q178" s="31">
        <v>0</v>
      </c>
      <c r="R178" s="31">
        <v>0</v>
      </c>
      <c r="S178" s="31">
        <v>0</v>
      </c>
      <c r="T178" s="31"/>
      <c r="U178" s="31"/>
      <c r="V178" s="31">
        <f t="shared" si="38"/>
        <v>0</v>
      </c>
      <c r="W178" s="31">
        <f t="shared" si="39"/>
        <v>0</v>
      </c>
      <c r="X178" s="31">
        <f t="shared" si="40"/>
        <v>0</v>
      </c>
      <c r="Y178" s="31">
        <f t="shared" si="44"/>
        <v>0</v>
      </c>
      <c r="Z178" s="31">
        <f t="shared" si="44"/>
        <v>0</v>
      </c>
      <c r="AA178" s="84">
        <v>0</v>
      </c>
      <c r="AB178" s="84">
        <v>0.55333332000000002</v>
      </c>
      <c r="AC178" s="84">
        <v>0.68599997999999995</v>
      </c>
      <c r="AD178">
        <f t="shared" si="41"/>
        <v>0</v>
      </c>
      <c r="AE178" s="84">
        <f t="shared" si="42"/>
        <v>0</v>
      </c>
      <c r="AF178" s="2">
        <f t="shared" si="43"/>
        <v>0</v>
      </c>
    </row>
    <row r="179" spans="2:32" hidden="1" x14ac:dyDescent="0.25">
      <c r="B179" s="32" t="s">
        <v>70</v>
      </c>
      <c r="C179" s="21" t="s">
        <v>380</v>
      </c>
      <c r="D179" s="21" t="s">
        <v>353</v>
      </c>
      <c r="E179" s="21"/>
      <c r="F179" s="20">
        <v>768</v>
      </c>
      <c r="G179" s="31">
        <v>38.381999999999998</v>
      </c>
      <c r="H179" s="31">
        <v>35.844000000000001</v>
      </c>
      <c r="I179" s="31">
        <v>33.058</v>
      </c>
      <c r="J179" s="31">
        <v>31</v>
      </c>
      <c r="K179" s="31">
        <v>28.7</v>
      </c>
      <c r="L179" s="31">
        <v>90.962299999999999</v>
      </c>
      <c r="M179" s="31">
        <v>91.9041</v>
      </c>
      <c r="N179" s="31">
        <v>92.861900000000006</v>
      </c>
      <c r="O179" s="31">
        <f>100-6.73</f>
        <v>93.27</v>
      </c>
      <c r="P179" s="31">
        <f>100-5.95</f>
        <v>94.05</v>
      </c>
      <c r="Q179" s="31">
        <v>4746.6819999999998</v>
      </c>
      <c r="R179" s="31">
        <v>5549.1882000000005</v>
      </c>
      <c r="S179" s="31">
        <v>6302.9384</v>
      </c>
      <c r="T179" s="31">
        <v>6674</v>
      </c>
      <c r="U179" s="31">
        <v>7343</v>
      </c>
      <c r="V179" s="31">
        <f t="shared" si="38"/>
        <v>165721.62060184646</v>
      </c>
      <c r="W179" s="31">
        <f t="shared" si="39"/>
        <v>182801.94370087067</v>
      </c>
      <c r="X179" s="31">
        <f t="shared" si="40"/>
        <v>193489.41132883285</v>
      </c>
      <c r="Y179" s="31">
        <f t="shared" si="44"/>
        <v>192970.0338</v>
      </c>
      <c r="Z179" s="31">
        <f t="shared" si="44"/>
        <v>198204.82605</v>
      </c>
      <c r="AA179" s="84">
        <v>0.49799999</v>
      </c>
      <c r="AB179" s="84">
        <v>0.65599998000000004</v>
      </c>
      <c r="AC179" s="84">
        <v>0.87</v>
      </c>
      <c r="AD179">
        <f t="shared" si="41"/>
        <v>119918.07141173229</v>
      </c>
      <c r="AE179" s="84">
        <f t="shared" si="42"/>
        <v>25153.623472748273</v>
      </c>
      <c r="AF179" s="2">
        <f t="shared" si="43"/>
        <v>72535.84744224028</v>
      </c>
    </row>
    <row r="180" spans="2:32" hidden="1" x14ac:dyDescent="0.25">
      <c r="B180" s="32" t="s">
        <v>16</v>
      </c>
      <c r="C180" s="21" t="s">
        <v>379</v>
      </c>
      <c r="D180" s="21" t="s">
        <v>356</v>
      </c>
      <c r="E180" s="21"/>
      <c r="F180" s="20">
        <v>776</v>
      </c>
      <c r="G180" s="31">
        <v>28.010999999999999</v>
      </c>
      <c r="H180" s="31">
        <v>28.585000000000001</v>
      </c>
      <c r="I180" s="31">
        <v>28.167000000000002</v>
      </c>
      <c r="J180" s="31">
        <v>25.7</v>
      </c>
      <c r="K180" s="31">
        <v>23.3</v>
      </c>
      <c r="L180" s="31">
        <v>97.507599999999996</v>
      </c>
      <c r="M180" s="31">
        <v>97.664000000000001</v>
      </c>
      <c r="N180" s="31">
        <v>97.818100000000001</v>
      </c>
      <c r="O180" s="31">
        <f>100-2.06</f>
        <v>97.94</v>
      </c>
      <c r="P180" s="31">
        <f>100-1.93</f>
        <v>98.07</v>
      </c>
      <c r="Q180" s="31">
        <v>97.838399999999993</v>
      </c>
      <c r="R180" s="31">
        <v>99.823599999999999</v>
      </c>
      <c r="S180" s="31">
        <v>102.99460000000001</v>
      </c>
      <c r="T180" s="31">
        <v>106</v>
      </c>
      <c r="U180" s="31">
        <v>111</v>
      </c>
      <c r="V180" s="31">
        <f t="shared" si="38"/>
        <v>2672.2459187481022</v>
      </c>
      <c r="W180" s="31">
        <f t="shared" si="39"/>
        <v>2786.80083632384</v>
      </c>
      <c r="X180" s="31">
        <f t="shared" si="40"/>
        <v>2837.7509122901743</v>
      </c>
      <c r="Y180" s="31">
        <f t="shared" si="44"/>
        <v>2668.0814799999998</v>
      </c>
      <c r="Z180" s="31">
        <f t="shared" si="44"/>
        <v>2536.3844100000001</v>
      </c>
      <c r="AA180" s="84">
        <v>0.96199997000000004</v>
      </c>
      <c r="AB180" s="84">
        <v>0.95199997000000003</v>
      </c>
      <c r="AC180" s="84">
        <v>0.99</v>
      </c>
      <c r="AD180">
        <f t="shared" si="41"/>
        <v>2653.0343125762706</v>
      </c>
      <c r="AE180" s="84">
        <f t="shared" si="42"/>
        <v>28.377509122901767</v>
      </c>
      <c r="AF180" s="2">
        <f t="shared" si="43"/>
        <v>1340.7059108495862</v>
      </c>
    </row>
    <row r="181" spans="2:32" x14ac:dyDescent="0.25">
      <c r="B181" s="32" t="s">
        <v>123</v>
      </c>
      <c r="C181" s="21" t="s">
        <v>378</v>
      </c>
      <c r="D181" s="21" t="s">
        <v>366</v>
      </c>
      <c r="E181" s="21"/>
      <c r="F181" s="20">
        <v>780</v>
      </c>
      <c r="G181" s="31">
        <v>15.063000000000001</v>
      </c>
      <c r="H181" s="31">
        <v>14.494999999999999</v>
      </c>
      <c r="I181" s="31">
        <v>14.827999999999999</v>
      </c>
      <c r="J181" s="31"/>
      <c r="K181" s="31"/>
      <c r="L181" s="31">
        <v>97.121399999999994</v>
      </c>
      <c r="M181" s="31">
        <v>97.107500000000002</v>
      </c>
      <c r="N181" s="31">
        <v>97.399199999999993</v>
      </c>
      <c r="O181" s="31"/>
      <c r="P181" s="31"/>
      <c r="Q181" s="31">
        <v>1277.9258</v>
      </c>
      <c r="R181" s="31">
        <v>1304.4941999999999</v>
      </c>
      <c r="S181" s="31">
        <v>1328.3313999999998</v>
      </c>
      <c r="T181" s="31"/>
      <c r="U181" s="31"/>
      <c r="V181" s="31">
        <f t="shared" si="38"/>
        <v>18695.283202777035</v>
      </c>
      <c r="W181" s="31">
        <f t="shared" si="39"/>
        <v>18361.71091781617</v>
      </c>
      <c r="X181" s="31">
        <f t="shared" si="40"/>
        <v>19184.231479236802</v>
      </c>
      <c r="Y181" s="31"/>
      <c r="Z181" s="31"/>
      <c r="AA181" s="2">
        <v>0.89800003000000006</v>
      </c>
      <c r="AB181" s="2">
        <v>0.92400002000000003</v>
      </c>
      <c r="AC181" s="2">
        <v>0.91</v>
      </c>
      <c r="AD181">
        <f t="shared" si="41"/>
        <v>16966.221255296361</v>
      </c>
      <c r="AE181" s="84">
        <f t="shared" si="42"/>
        <v>1726.5808331313115</v>
      </c>
      <c r="AF181" s="2">
        <f t="shared" si="43"/>
        <v>9346.4010442138369</v>
      </c>
    </row>
    <row r="182" spans="2:32" hidden="1" x14ac:dyDescent="0.25">
      <c r="B182" s="32" t="s">
        <v>15</v>
      </c>
      <c r="C182" s="21" t="s">
        <v>377</v>
      </c>
      <c r="D182" s="21" t="s">
        <v>361</v>
      </c>
      <c r="E182" s="21"/>
      <c r="F182" s="20">
        <v>788</v>
      </c>
      <c r="G182" s="31">
        <v>18.364000000000001</v>
      </c>
      <c r="H182" s="31">
        <v>16.324999999999999</v>
      </c>
      <c r="I182" s="31">
        <v>16.093</v>
      </c>
      <c r="J182" s="31">
        <v>16.5</v>
      </c>
      <c r="K182" s="31">
        <v>15.2</v>
      </c>
      <c r="L182" s="31">
        <v>97.356399999999994</v>
      </c>
      <c r="M182" s="31">
        <v>97.754000000000005</v>
      </c>
      <c r="N182" s="31">
        <v>98.024199999999993</v>
      </c>
      <c r="O182" s="31">
        <f>100-1.84</f>
        <v>98.16</v>
      </c>
      <c r="P182" s="31">
        <f>100-1.65</f>
        <v>98.35</v>
      </c>
      <c r="Q182" s="31">
        <v>9210.2000000000007</v>
      </c>
      <c r="R182" s="31">
        <v>9758.24</v>
      </c>
      <c r="S182" s="31">
        <v>10228.56</v>
      </c>
      <c r="T182" s="31">
        <v>11026</v>
      </c>
      <c r="U182" s="31">
        <v>11518</v>
      </c>
      <c r="V182" s="31">
        <f t="shared" si="38"/>
        <v>164664.83052201921</v>
      </c>
      <c r="W182" s="31">
        <f t="shared" si="39"/>
        <v>155725.31660071999</v>
      </c>
      <c r="X182" s="31">
        <f t="shared" si="40"/>
        <v>161355.88694669132</v>
      </c>
      <c r="Y182" s="31">
        <f>J182*T182*(O182/100)</f>
        <v>178581.50639999998</v>
      </c>
      <c r="Z182" s="31">
        <f>K182*U182*(P182/100)</f>
        <v>172184.88559999998</v>
      </c>
      <c r="AA182" s="84">
        <v>0.96</v>
      </c>
      <c r="AB182" s="84">
        <v>0.96599997999999998</v>
      </c>
      <c r="AC182" s="84">
        <v>0.98599998</v>
      </c>
      <c r="AD182">
        <f t="shared" si="41"/>
        <v>150430.65272178917</v>
      </c>
      <c r="AE182" s="84">
        <f t="shared" si="42"/>
        <v>2258.9856443714175</v>
      </c>
      <c r="AF182" s="2">
        <f t="shared" si="43"/>
        <v>76344.819183080297</v>
      </c>
    </row>
    <row r="183" spans="2:32" hidden="1" x14ac:dyDescent="0.25">
      <c r="B183" s="32" t="s">
        <v>122</v>
      </c>
      <c r="C183" s="21" t="s">
        <v>376</v>
      </c>
      <c r="D183" s="21" t="s">
        <v>361</v>
      </c>
      <c r="E183" s="21"/>
      <c r="F183" s="20">
        <v>792</v>
      </c>
      <c r="G183" s="31">
        <v>22.67</v>
      </c>
      <c r="H183" s="31">
        <v>19.690000000000001</v>
      </c>
      <c r="I183" s="31">
        <v>18.425999999999998</v>
      </c>
      <c r="J183" s="31"/>
      <c r="K183" s="31"/>
      <c r="L183" s="31">
        <v>95.965100000000007</v>
      </c>
      <c r="M183" s="31">
        <v>96.858099999999993</v>
      </c>
      <c r="N183" s="31">
        <v>97.246499999999997</v>
      </c>
      <c r="O183" s="31"/>
      <c r="P183" s="31"/>
      <c r="Q183" s="31">
        <v>63328.027999999998</v>
      </c>
      <c r="R183" s="31">
        <v>68376.292000000001</v>
      </c>
      <c r="S183" s="31">
        <v>72998.133000000002</v>
      </c>
      <c r="T183" s="31"/>
      <c r="U183" s="31"/>
      <c r="V183" s="31">
        <f t="shared" si="38"/>
        <v>1377719.4983778289</v>
      </c>
      <c r="W183" s="31">
        <f t="shared" si="39"/>
        <v>1304028.8726757278</v>
      </c>
      <c r="X183" s="31">
        <f t="shared" si="40"/>
        <v>1308027.2724689518</v>
      </c>
      <c r="Y183" s="31"/>
      <c r="Z183" s="31"/>
      <c r="AA183" s="2">
        <v>0.75599998000000002</v>
      </c>
      <c r="AB183" s="2">
        <v>0.80800003000000009</v>
      </c>
      <c r="AC183" s="2">
        <v>0.93599998000000006</v>
      </c>
      <c r="AD183">
        <f t="shared" si="41"/>
        <v>1053655.3682428545</v>
      </c>
      <c r="AE183" s="84">
        <f t="shared" si="42"/>
        <v>83713.771598558276</v>
      </c>
      <c r="AF183" s="2">
        <f t="shared" si="43"/>
        <v>568684.56992070633</v>
      </c>
    </row>
    <row r="184" spans="2:32" hidden="1" x14ac:dyDescent="0.25">
      <c r="B184" s="32" t="s">
        <v>121</v>
      </c>
      <c r="C184" s="21" t="s">
        <v>375</v>
      </c>
      <c r="D184" s="21" t="s">
        <v>356</v>
      </c>
      <c r="E184" s="21"/>
      <c r="F184" s="20">
        <v>795</v>
      </c>
      <c r="G184" s="31">
        <v>24.488</v>
      </c>
      <c r="H184" s="31">
        <v>23.338000000000001</v>
      </c>
      <c r="I184" s="31">
        <v>22.013999999999999</v>
      </c>
      <c r="J184" s="31">
        <v>21.2</v>
      </c>
      <c r="K184" s="31">
        <v>19.7</v>
      </c>
      <c r="L184" s="31">
        <v>93.877799999999993</v>
      </c>
      <c r="M184" s="31">
        <v>94.828599999999994</v>
      </c>
      <c r="N184" s="31">
        <v>94.955699999999993</v>
      </c>
      <c r="O184" s="31">
        <f>100-4.88</f>
        <v>95.12</v>
      </c>
      <c r="P184" s="31">
        <f>100-4.44</f>
        <v>95.56</v>
      </c>
      <c r="Q184" s="31">
        <v>4322.1037999999999</v>
      </c>
      <c r="R184" s="31">
        <v>4635.8959999999997</v>
      </c>
      <c r="S184" s="31">
        <v>4976.9502000000002</v>
      </c>
      <c r="T184" s="31">
        <v>5364</v>
      </c>
      <c r="U184" s="31">
        <v>5675</v>
      </c>
      <c r="V184" s="31">
        <f t="shared" si="38"/>
        <v>99359.961096797924</v>
      </c>
      <c r="W184" s="31">
        <f t="shared" si="39"/>
        <v>102597.47179058653</v>
      </c>
      <c r="X184" s="31">
        <f t="shared" si="40"/>
        <v>104035.91639396566</v>
      </c>
      <c r="Y184" s="31">
        <f t="shared" ref="Y184:Z186" si="45">J184*T184*(O184/100)</f>
        <v>108167.42016000001</v>
      </c>
      <c r="Z184" s="31">
        <f t="shared" si="45"/>
        <v>106833.69100000001</v>
      </c>
      <c r="AA184" s="84">
        <v>0.97</v>
      </c>
      <c r="AB184" s="84">
        <v>0.94000000000000006</v>
      </c>
      <c r="AC184" s="84">
        <v>0.97400002000000008</v>
      </c>
      <c r="AD184">
        <f t="shared" si="41"/>
        <v>96441.623483151343</v>
      </c>
      <c r="AE184" s="84">
        <f t="shared" si="42"/>
        <v>2704.931745524771</v>
      </c>
      <c r="AF184" s="2">
        <f t="shared" si="43"/>
        <v>49573.277614338054</v>
      </c>
    </row>
    <row r="185" spans="2:32" hidden="1" x14ac:dyDescent="0.25">
      <c r="B185" s="32" t="s">
        <v>69</v>
      </c>
      <c r="C185" s="21" t="s">
        <v>374</v>
      </c>
      <c r="D185" s="21" t="s">
        <v>353</v>
      </c>
      <c r="E185" s="21"/>
      <c r="F185" s="20">
        <v>800</v>
      </c>
      <c r="G185" s="31">
        <v>48.317</v>
      </c>
      <c r="H185" s="31">
        <v>47.37</v>
      </c>
      <c r="I185" s="31">
        <v>46.344999999999999</v>
      </c>
      <c r="J185" s="31">
        <v>43.9</v>
      </c>
      <c r="K185" s="31">
        <v>41.3</v>
      </c>
      <c r="L185" s="31">
        <v>90.971999999999994</v>
      </c>
      <c r="M185" s="31">
        <v>91.778700000000001</v>
      </c>
      <c r="N185" s="31">
        <v>92.6006</v>
      </c>
      <c r="O185" s="31">
        <f>100-7.23</f>
        <v>92.77</v>
      </c>
      <c r="P185" s="31">
        <f>100-6.65</f>
        <v>93.35</v>
      </c>
      <c r="Q185" s="31">
        <v>22304.09</v>
      </c>
      <c r="R185" s="31">
        <v>26070.677</v>
      </c>
      <c r="S185" s="31">
        <v>30671.053</v>
      </c>
      <c r="T185" s="31">
        <v>39113</v>
      </c>
      <c r="U185" s="31">
        <v>45424</v>
      </c>
      <c r="V185" s="31">
        <f t="shared" si="38"/>
        <v>980374.96536167164</v>
      </c>
      <c r="W185" s="31">
        <f t="shared" si="39"/>
        <v>1133437.5478143184</v>
      </c>
      <c r="X185" s="31">
        <f t="shared" si="40"/>
        <v>1316271.1835896177</v>
      </c>
      <c r="Y185" s="31">
        <f t="shared" si="45"/>
        <v>1592917.2113899998</v>
      </c>
      <c r="Z185" s="31">
        <f t="shared" si="45"/>
        <v>1751256.4552</v>
      </c>
      <c r="AA185" s="84">
        <v>0.54</v>
      </c>
      <c r="AB185" s="84">
        <v>0.57000000000000006</v>
      </c>
      <c r="AC185" s="84">
        <v>0.64</v>
      </c>
      <c r="AD185">
        <f t="shared" si="41"/>
        <v>646059.40225416154</v>
      </c>
      <c r="AE185" s="84">
        <f t="shared" si="42"/>
        <v>473857.62609226233</v>
      </c>
      <c r="AF185" s="2">
        <f t="shared" si="43"/>
        <v>559958.514173212</v>
      </c>
    </row>
    <row r="186" spans="2:32" hidden="1" x14ac:dyDescent="0.25">
      <c r="B186" s="32" t="s">
        <v>11</v>
      </c>
      <c r="C186" s="21" t="s">
        <v>373</v>
      </c>
      <c r="D186" s="21" t="s">
        <v>356</v>
      </c>
      <c r="E186" s="21"/>
      <c r="F186" s="20">
        <v>804</v>
      </c>
      <c r="G186" s="31">
        <v>8.6199999999999992</v>
      </c>
      <c r="H186" s="31">
        <v>8.44</v>
      </c>
      <c r="I186" s="31">
        <v>9.8789999999999996</v>
      </c>
      <c r="J186" s="31">
        <v>10.9</v>
      </c>
      <c r="K186" s="31">
        <v>10.6</v>
      </c>
      <c r="L186" s="31">
        <v>98.297600000000003</v>
      </c>
      <c r="M186" s="31">
        <v>98.637100000000004</v>
      </c>
      <c r="N186" s="31">
        <v>98.763499999999993</v>
      </c>
      <c r="O186" s="31">
        <f>100-1.18</f>
        <v>98.82</v>
      </c>
      <c r="P186" s="31">
        <f>100-1.09</f>
        <v>98.91</v>
      </c>
      <c r="Q186" s="31">
        <v>50596.175999999999</v>
      </c>
      <c r="R186" s="31">
        <v>48265.351999999999</v>
      </c>
      <c r="S186" s="31">
        <v>46533.771000000001</v>
      </c>
      <c r="T186" s="31">
        <v>44222</v>
      </c>
      <c r="U186" s="31">
        <v>43047</v>
      </c>
      <c r="V186" s="31">
        <f t="shared" si="38"/>
        <v>428714.20615206903</v>
      </c>
      <c r="W186" s="31">
        <f t="shared" si="39"/>
        <v>401807.66728847643</v>
      </c>
      <c r="X186" s="31">
        <f t="shared" si="40"/>
        <v>454022.84512433817</v>
      </c>
      <c r="Y186" s="31">
        <f t="shared" si="45"/>
        <v>476331.96635999996</v>
      </c>
      <c r="Z186" s="31">
        <f t="shared" si="45"/>
        <v>451324.54962000001</v>
      </c>
      <c r="AA186" s="84">
        <v>0.98599998</v>
      </c>
      <c r="AB186" s="84">
        <v>0.98599998</v>
      </c>
      <c r="AC186" s="84">
        <v>0.94400002000000005</v>
      </c>
      <c r="AD186">
        <f t="shared" si="41"/>
        <v>396182.35191028443</v>
      </c>
      <c r="AE186" s="84">
        <f t="shared" si="42"/>
        <v>25425.270246506014</v>
      </c>
      <c r="AF186" s="2">
        <f t="shared" si="43"/>
        <v>210803.81107839523</v>
      </c>
    </row>
    <row r="187" spans="2:32" x14ac:dyDescent="0.25">
      <c r="B187" s="32" t="s">
        <v>120</v>
      </c>
      <c r="C187" s="21" t="s">
        <v>372</v>
      </c>
      <c r="D187" s="21" t="s">
        <v>366</v>
      </c>
      <c r="E187" s="21"/>
      <c r="F187" s="20">
        <v>784</v>
      </c>
      <c r="G187" s="31">
        <v>18.221</v>
      </c>
      <c r="H187" s="31">
        <v>16.513000000000002</v>
      </c>
      <c r="I187" s="31">
        <v>14.026999999999999</v>
      </c>
      <c r="J187" s="31"/>
      <c r="K187" s="31"/>
      <c r="L187" s="31">
        <v>98.870099999999994</v>
      </c>
      <c r="M187" s="31">
        <v>98.974599999999995</v>
      </c>
      <c r="N187" s="31">
        <v>99.034099999999995</v>
      </c>
      <c r="O187" s="31"/>
      <c r="P187" s="31"/>
      <c r="Q187" s="31">
        <v>2739.6517999999996</v>
      </c>
      <c r="R187" s="31">
        <v>3588.1692000000003</v>
      </c>
      <c r="S187" s="31">
        <v>4353.8034000000007</v>
      </c>
      <c r="T187" s="31"/>
      <c r="U187" s="31"/>
      <c r="V187" s="31">
        <f t="shared" si="38"/>
        <v>49355.158458435304</v>
      </c>
      <c r="W187" s="31">
        <f t="shared" si="39"/>
        <v>58643.873754352106</v>
      </c>
      <c r="X187" s="31">
        <f t="shared" si="40"/>
        <v>60480.917431781505</v>
      </c>
      <c r="Y187" s="31"/>
      <c r="Z187" s="31"/>
      <c r="AA187" s="2">
        <v>0.92</v>
      </c>
      <c r="AB187" s="2">
        <v>0.94000000000000006</v>
      </c>
      <c r="AC187" s="2">
        <v>0.92400002000000003</v>
      </c>
      <c r="AD187">
        <f t="shared" si="41"/>
        <v>55125.241329090983</v>
      </c>
      <c r="AE187" s="84">
        <f t="shared" si="42"/>
        <v>4596.5485151970433</v>
      </c>
      <c r="AF187" s="2">
        <f t="shared" si="43"/>
        <v>29860.894922144013</v>
      </c>
    </row>
    <row r="188" spans="2:32" x14ac:dyDescent="0.25">
      <c r="B188" s="32" t="s">
        <v>119</v>
      </c>
      <c r="C188" s="21" t="s">
        <v>371</v>
      </c>
      <c r="D188" s="21" t="s">
        <v>366</v>
      </c>
      <c r="E188" s="21"/>
      <c r="F188" s="20">
        <v>826</v>
      </c>
      <c r="G188" s="31">
        <v>12.161</v>
      </c>
      <c r="H188" s="31">
        <v>11.62</v>
      </c>
      <c r="I188" s="31">
        <v>12.195</v>
      </c>
      <c r="J188" s="31"/>
      <c r="K188" s="31"/>
      <c r="L188" s="31">
        <v>99.415000000000006</v>
      </c>
      <c r="M188" s="31">
        <v>99.475499999999997</v>
      </c>
      <c r="N188" s="31">
        <v>99.519000000000005</v>
      </c>
      <c r="O188" s="31"/>
      <c r="P188" s="31"/>
      <c r="Q188" s="31">
        <v>58334.508000000002</v>
      </c>
      <c r="R188" s="31">
        <v>59355.5</v>
      </c>
      <c r="S188" s="31">
        <v>61011.357000000004</v>
      </c>
      <c r="T188" s="31"/>
      <c r="U188" s="31"/>
      <c r="V188" s="31">
        <f t="shared" si="38"/>
        <v>705255.92697004019</v>
      </c>
      <c r="W188" s="31">
        <f t="shared" si="39"/>
        <v>686093.37627704989</v>
      </c>
      <c r="X188" s="31">
        <f t="shared" si="40"/>
        <v>740454.69748666196</v>
      </c>
      <c r="Y188" s="31"/>
      <c r="Z188" s="31"/>
      <c r="AA188" s="2">
        <v>0.94000000000000006</v>
      </c>
      <c r="AB188" s="2">
        <v>0.92</v>
      </c>
      <c r="AC188" s="2">
        <v>0.92</v>
      </c>
      <c r="AD188">
        <f t="shared" si="41"/>
        <v>631205.90617488592</v>
      </c>
      <c r="AE188" s="84">
        <f t="shared" si="42"/>
        <v>59236.375798932924</v>
      </c>
      <c r="AF188" s="2">
        <f t="shared" si="43"/>
        <v>345221.14098690945</v>
      </c>
    </row>
    <row r="189" spans="2:32" hidden="1" x14ac:dyDescent="0.25">
      <c r="B189" s="32" t="s">
        <v>118</v>
      </c>
      <c r="C189" s="21" t="s">
        <v>370</v>
      </c>
      <c r="D189" s="21" t="s">
        <v>353</v>
      </c>
      <c r="E189" s="21"/>
      <c r="F189" s="20">
        <v>834</v>
      </c>
      <c r="G189" s="31">
        <v>41.89</v>
      </c>
      <c r="H189" s="31">
        <v>41.823999999999998</v>
      </c>
      <c r="I189" s="31">
        <v>41.648000000000003</v>
      </c>
      <c r="J189" s="31">
        <v>41</v>
      </c>
      <c r="K189" s="31">
        <v>39.700000000000003</v>
      </c>
      <c r="L189" s="31">
        <v>91.0364</v>
      </c>
      <c r="M189" s="31">
        <v>92.603499999999997</v>
      </c>
      <c r="N189" s="31">
        <v>93.522300000000001</v>
      </c>
      <c r="O189" s="31">
        <f>100-5.37</f>
        <v>94.63</v>
      </c>
      <c r="P189" s="31">
        <f>100-4.56</f>
        <v>95.44</v>
      </c>
      <c r="Q189" s="31">
        <v>31633.548999999999</v>
      </c>
      <c r="R189" s="31">
        <v>35998.042000000001</v>
      </c>
      <c r="S189" s="31">
        <v>41324.756999999998</v>
      </c>
      <c r="T189" s="31">
        <v>52311</v>
      </c>
      <c r="U189" s="31">
        <v>61081</v>
      </c>
      <c r="V189" s="31">
        <f t="shared" si="38"/>
        <v>1206350.0716149101</v>
      </c>
      <c r="W189" s="31">
        <f t="shared" si="39"/>
        <v>1394221.7279448092</v>
      </c>
      <c r="X189" s="31">
        <f t="shared" si="40"/>
        <v>1609606.2072120965</v>
      </c>
      <c r="Y189" s="31">
        <f>J189*T189*(O189/100)</f>
        <v>2029577.8712999998</v>
      </c>
      <c r="Z189" s="31">
        <f>K189*U189*(P189/100)</f>
        <v>2314339.5440800004</v>
      </c>
      <c r="AA189" s="84">
        <v>0.79400002000000003</v>
      </c>
      <c r="AB189" s="84">
        <v>0.88599998000000002</v>
      </c>
      <c r="AC189" s="84">
        <v>0.86800003000000003</v>
      </c>
      <c r="AD189">
        <f t="shared" si="41"/>
        <v>1235280.4230746664</v>
      </c>
      <c r="AE189" s="84">
        <f t="shared" si="42"/>
        <v>212467.97106381049</v>
      </c>
      <c r="AF189" s="2">
        <f t="shared" si="43"/>
        <v>723874.19706923841</v>
      </c>
    </row>
    <row r="190" spans="2:32" x14ac:dyDescent="0.25">
      <c r="B190" s="32" t="s">
        <v>117</v>
      </c>
      <c r="C190" s="21" t="s">
        <v>369</v>
      </c>
      <c r="D190" s="21" t="s">
        <v>366</v>
      </c>
      <c r="E190" s="21"/>
      <c r="F190" s="20">
        <v>840</v>
      </c>
      <c r="G190" s="31">
        <v>14.484999999999999</v>
      </c>
      <c r="H190" s="31">
        <v>14.195</v>
      </c>
      <c r="I190" s="31">
        <v>14.191000000000001</v>
      </c>
      <c r="J190" s="31"/>
      <c r="K190" s="31"/>
      <c r="L190" s="31">
        <v>99.331000000000003</v>
      </c>
      <c r="M190" s="31">
        <v>99.36</v>
      </c>
      <c r="N190" s="31">
        <v>99.41</v>
      </c>
      <c r="O190" s="31"/>
      <c r="P190" s="31"/>
      <c r="Q190" s="31">
        <v>272600</v>
      </c>
      <c r="R190" s="31">
        <v>287700</v>
      </c>
      <c r="S190" s="31">
        <v>301500</v>
      </c>
      <c r="T190" s="31"/>
      <c r="U190" s="31"/>
      <c r="V190" s="31">
        <f t="shared" si="38"/>
        <v>3922194.7924099998</v>
      </c>
      <c r="W190" s="31">
        <f t="shared" si="39"/>
        <v>4057764.5304</v>
      </c>
      <c r="X190" s="31">
        <f t="shared" si="40"/>
        <v>4253342.8396499995</v>
      </c>
      <c r="Y190" s="31"/>
      <c r="Z190" s="31"/>
      <c r="AA190" s="2">
        <v>0.95599997999999997</v>
      </c>
      <c r="AB190" s="2">
        <v>0.9480000300000001</v>
      </c>
      <c r="AC190" s="2">
        <v>0.95199997000000003</v>
      </c>
      <c r="AD190">
        <f t="shared" si="41"/>
        <v>3846760.8965521362</v>
      </c>
      <c r="AE190" s="84">
        <f t="shared" si="42"/>
        <v>204160.58390348504</v>
      </c>
      <c r="AF190" s="2">
        <f t="shared" si="43"/>
        <v>2025460.7402278106</v>
      </c>
    </row>
    <row r="191" spans="2:32" x14ac:dyDescent="0.25">
      <c r="B191" s="32" t="s">
        <v>368</v>
      </c>
      <c r="C191" s="18" t="s">
        <v>367</v>
      </c>
      <c r="D191" s="21" t="s">
        <v>366</v>
      </c>
      <c r="E191" s="21"/>
      <c r="F191" s="20">
        <v>850</v>
      </c>
      <c r="G191" s="31">
        <v>17.8</v>
      </c>
      <c r="H191" s="31">
        <v>14.846</v>
      </c>
      <c r="I191" s="31">
        <v>13.536</v>
      </c>
      <c r="J191" s="31"/>
      <c r="K191" s="31"/>
      <c r="L191" s="31">
        <v>98.817400000000006</v>
      </c>
      <c r="M191" s="31">
        <v>99.003600000000006</v>
      </c>
      <c r="N191" s="31">
        <v>99.087400000000002</v>
      </c>
      <c r="O191" s="31"/>
      <c r="P191" s="31"/>
      <c r="Q191" s="31">
        <v>108.2792</v>
      </c>
      <c r="R191" s="31">
        <v>108.9622</v>
      </c>
      <c r="S191" s="31">
        <v>109.77</v>
      </c>
      <c r="T191" s="31"/>
      <c r="U191" s="31"/>
      <c r="V191" s="31">
        <f t="shared" si="38"/>
        <v>1904.5766852182403</v>
      </c>
      <c r="W191" s="31">
        <f t="shared" si="39"/>
        <v>1601.5345284895632</v>
      </c>
      <c r="X191" s="31">
        <f t="shared" si="40"/>
        <v>1472.2868828332801</v>
      </c>
      <c r="Y191" s="31"/>
      <c r="Z191" s="31"/>
      <c r="AA191" s="2">
        <v>0</v>
      </c>
      <c r="AB191" s="2">
        <v>0</v>
      </c>
      <c r="AC191" s="2">
        <v>0</v>
      </c>
      <c r="AD191">
        <f t="shared" si="41"/>
        <v>0</v>
      </c>
      <c r="AE191" s="84">
        <f t="shared" si="42"/>
        <v>1472.2868828332801</v>
      </c>
      <c r="AF191" s="2">
        <f t="shared" si="43"/>
        <v>736.14344141664003</v>
      </c>
    </row>
    <row r="192" spans="2:32" hidden="1" x14ac:dyDescent="0.25">
      <c r="B192" s="32" t="s">
        <v>116</v>
      </c>
      <c r="C192" s="21" t="s">
        <v>365</v>
      </c>
      <c r="D192" s="21" t="s">
        <v>361</v>
      </c>
      <c r="E192" s="21"/>
      <c r="F192" s="20">
        <v>858</v>
      </c>
      <c r="G192" s="31">
        <v>16.928000000000001</v>
      </c>
      <c r="H192" s="31">
        <v>15.935</v>
      </c>
      <c r="I192" s="31">
        <v>15.089</v>
      </c>
      <c r="J192" s="31"/>
      <c r="K192" s="31"/>
      <c r="L192" s="31">
        <v>98.441900000000004</v>
      </c>
      <c r="M192" s="31">
        <v>98.563999999999993</v>
      </c>
      <c r="N192" s="31">
        <v>98.692700000000002</v>
      </c>
      <c r="O192" s="31"/>
      <c r="P192" s="31"/>
      <c r="Q192" s="31">
        <v>3254.5038999999997</v>
      </c>
      <c r="R192" s="31">
        <v>3304.6003999999998</v>
      </c>
      <c r="S192" s="31">
        <v>3324.6170000000002</v>
      </c>
      <c r="T192" s="31"/>
      <c r="U192" s="31"/>
      <c r="V192" s="31">
        <f t="shared" si="38"/>
        <v>54233.849796298848</v>
      </c>
      <c r="W192" s="31">
        <f t="shared" si="39"/>
        <v>51902.626900109353</v>
      </c>
      <c r="X192" s="31">
        <f t="shared" si="40"/>
        <v>49509.336960479355</v>
      </c>
      <c r="Y192" s="31"/>
      <c r="Z192" s="31"/>
      <c r="AA192" s="2">
        <v>0.91400002000000002</v>
      </c>
      <c r="AB192" s="2">
        <v>0.92800003000000009</v>
      </c>
      <c r="AC192" s="2">
        <v>0.9480000300000001</v>
      </c>
      <c r="AD192">
        <f t="shared" si="41"/>
        <v>48165.639320380295</v>
      </c>
      <c r="AE192" s="84">
        <f t="shared" si="42"/>
        <v>2574.4840366648123</v>
      </c>
      <c r="AF192" s="2">
        <f t="shared" si="43"/>
        <v>25370.061678522554</v>
      </c>
    </row>
    <row r="193" spans="2:32" hidden="1" x14ac:dyDescent="0.25">
      <c r="B193" s="32" t="s">
        <v>9</v>
      </c>
      <c r="C193" s="21" t="s">
        <v>364</v>
      </c>
      <c r="D193" s="21" t="s">
        <v>356</v>
      </c>
      <c r="E193" s="21"/>
      <c r="F193" s="20">
        <v>860</v>
      </c>
      <c r="G193" s="31">
        <v>25.555</v>
      </c>
      <c r="H193" s="31">
        <v>21.635000000000002</v>
      </c>
      <c r="I193" s="31">
        <v>20.36</v>
      </c>
      <c r="J193" s="31">
        <v>20.8</v>
      </c>
      <c r="K193" s="31">
        <v>19.3</v>
      </c>
      <c r="L193" s="31">
        <v>94.530299999999997</v>
      </c>
      <c r="M193" s="31">
        <v>95.043999999999997</v>
      </c>
      <c r="N193" s="31">
        <v>95.201800000000006</v>
      </c>
      <c r="O193" s="31">
        <f>100-4.45</f>
        <v>95.55</v>
      </c>
      <c r="P193" s="31">
        <f>100-4.07</f>
        <v>95.93</v>
      </c>
      <c r="Q193" s="31">
        <v>23625.599999999999</v>
      </c>
      <c r="R193" s="31">
        <v>25264.177</v>
      </c>
      <c r="S193" s="31">
        <v>26920.353999999999</v>
      </c>
      <c r="T193" s="31">
        <v>29060</v>
      </c>
      <c r="U193" s="31">
        <v>30776</v>
      </c>
      <c r="V193" s="31">
        <f t="shared" si="38"/>
        <v>570728.77347902395</v>
      </c>
      <c r="W193" s="31">
        <f t="shared" si="39"/>
        <v>519501.44573178381</v>
      </c>
      <c r="X193" s="31">
        <f t="shared" si="40"/>
        <v>521799.54965421394</v>
      </c>
      <c r="Y193" s="31">
        <f>J193*T193*(O193/100)</f>
        <v>577550.06400000001</v>
      </c>
      <c r="Z193" s="31">
        <f>K193*U193*(P193/100)</f>
        <v>569801.9442400001</v>
      </c>
      <c r="AA193" s="84">
        <v>0.95199997000000003</v>
      </c>
      <c r="AB193" s="84">
        <v>0.98800003000000003</v>
      </c>
      <c r="AC193" s="84">
        <v>0.97400002000000008</v>
      </c>
      <c r="AD193">
        <f t="shared" si="41"/>
        <v>513267.44396804582</v>
      </c>
      <c r="AE193" s="84">
        <f t="shared" si="42"/>
        <v>13566.777855018528</v>
      </c>
      <c r="AF193" s="2">
        <f t="shared" si="43"/>
        <v>263417.11091153219</v>
      </c>
    </row>
    <row r="194" spans="2:32" hidden="1" x14ac:dyDescent="0.25">
      <c r="B194" s="32" t="s">
        <v>8</v>
      </c>
      <c r="C194" s="21" t="s">
        <v>363</v>
      </c>
      <c r="D194" s="21" t="s">
        <v>356</v>
      </c>
      <c r="E194" s="21"/>
      <c r="F194" s="20">
        <v>548</v>
      </c>
      <c r="G194" s="31">
        <v>33.939</v>
      </c>
      <c r="H194" s="31">
        <v>32.049999999999997</v>
      </c>
      <c r="I194" s="31">
        <v>30.443000000000001</v>
      </c>
      <c r="J194" s="31">
        <v>28.7</v>
      </c>
      <c r="K194" s="31">
        <v>27.1</v>
      </c>
      <c r="L194" s="31">
        <v>95.774600000000007</v>
      </c>
      <c r="M194" s="31">
        <v>96.569400000000002</v>
      </c>
      <c r="N194" s="31">
        <v>97.170299999999997</v>
      </c>
      <c r="O194" s="31">
        <f>100-2.41</f>
        <v>97.59</v>
      </c>
      <c r="P194" s="31">
        <f>100-2.06</f>
        <v>97.94</v>
      </c>
      <c r="Q194" s="31">
        <v>179.0934</v>
      </c>
      <c r="R194" s="31">
        <v>199.81800000000001</v>
      </c>
      <c r="S194" s="31">
        <v>228.0598</v>
      </c>
      <c r="T194" s="31">
        <v>270</v>
      </c>
      <c r="U194" s="31">
        <v>303</v>
      </c>
      <c r="V194" s="31">
        <f t="shared" si="38"/>
        <v>5821.4204889615394</v>
      </c>
      <c r="W194" s="31">
        <f t="shared" si="39"/>
        <v>6184.4655503286003</v>
      </c>
      <c r="X194" s="31">
        <f t="shared" si="40"/>
        <v>6746.363386766855</v>
      </c>
      <c r="Y194" s="31">
        <f>J194*T194*(O194/100)</f>
        <v>7562.2491</v>
      </c>
      <c r="Z194" s="31">
        <f>K194*U194*(P194/100)</f>
        <v>8042.1472200000007</v>
      </c>
      <c r="AA194" s="84">
        <v>0.71</v>
      </c>
      <c r="AB194" s="84">
        <v>0.6980000300000001</v>
      </c>
      <c r="AC194" s="84">
        <v>0.68</v>
      </c>
      <c r="AD194">
        <f t="shared" si="41"/>
        <v>4316.7571396633302</v>
      </c>
      <c r="AE194" s="84">
        <f t="shared" si="42"/>
        <v>2158.8362837653931</v>
      </c>
      <c r="AF194" s="2">
        <f t="shared" si="43"/>
        <v>3237.7967117143617</v>
      </c>
    </row>
    <row r="195" spans="2:32" hidden="1" x14ac:dyDescent="0.25">
      <c r="B195" s="32" t="s">
        <v>115</v>
      </c>
      <c r="C195" s="21" t="s">
        <v>362</v>
      </c>
      <c r="D195" s="21" t="s">
        <v>361</v>
      </c>
      <c r="E195" s="21"/>
      <c r="F195" s="20">
        <v>862</v>
      </c>
      <c r="G195" s="31">
        <v>24.481000000000002</v>
      </c>
      <c r="H195" s="31">
        <v>22.867999999999999</v>
      </c>
      <c r="I195" s="31">
        <v>21.439</v>
      </c>
      <c r="J195" s="31"/>
      <c r="K195" s="31"/>
      <c r="L195" s="31">
        <v>97.930300000000003</v>
      </c>
      <c r="M195" s="31">
        <v>98.1143</v>
      </c>
      <c r="N195" s="31">
        <v>98.299899999999994</v>
      </c>
      <c r="O195" s="31"/>
      <c r="P195" s="31"/>
      <c r="Q195" s="31">
        <v>22956.799999999999</v>
      </c>
      <c r="R195" s="31">
        <v>25219.4</v>
      </c>
      <c r="S195" s="31">
        <v>27482</v>
      </c>
      <c r="T195" s="31"/>
      <c r="U195" s="31"/>
      <c r="V195" s="31">
        <f t="shared" si="38"/>
        <v>550373.59460570244</v>
      </c>
      <c r="W195" s="31">
        <f t="shared" si="39"/>
        <v>565842.08222040557</v>
      </c>
      <c r="X195" s="31">
        <f t="shared" si="40"/>
        <v>579169.83664740203</v>
      </c>
      <c r="Y195" s="31"/>
      <c r="Z195" s="31"/>
      <c r="AA195" s="2">
        <v>0.6</v>
      </c>
      <c r="AB195" s="2">
        <v>0.73199996999999994</v>
      </c>
      <c r="AC195" s="2">
        <v>0.71199996999999993</v>
      </c>
      <c r="AD195">
        <f t="shared" si="41"/>
        <v>414196.3872100744</v>
      </c>
      <c r="AE195" s="84">
        <f t="shared" si="42"/>
        <v>166800.93032954691</v>
      </c>
      <c r="AF195" s="2">
        <f t="shared" si="43"/>
        <v>290498.65876981069</v>
      </c>
    </row>
    <row r="196" spans="2:32" hidden="1" x14ac:dyDescent="0.25">
      <c r="B196" s="32" t="s">
        <v>114</v>
      </c>
      <c r="C196" s="21" t="s">
        <v>360</v>
      </c>
      <c r="D196" s="21" t="s">
        <v>356</v>
      </c>
      <c r="E196" s="21"/>
      <c r="F196" s="20">
        <v>704</v>
      </c>
      <c r="G196" s="31">
        <v>21.295000000000002</v>
      </c>
      <c r="H196" s="31">
        <v>19.134</v>
      </c>
      <c r="I196" s="31">
        <v>17.312000000000001</v>
      </c>
      <c r="J196" s="31">
        <v>15.9</v>
      </c>
      <c r="K196" s="31">
        <v>14.1</v>
      </c>
      <c r="L196" s="31">
        <v>97.107399999999998</v>
      </c>
      <c r="M196" s="31">
        <v>97.766199999999998</v>
      </c>
      <c r="N196" s="31">
        <v>98.046700000000001</v>
      </c>
      <c r="O196" s="31">
        <f>100-1.83</f>
        <v>98.17</v>
      </c>
      <c r="P196" s="31">
        <f>100-1.67</f>
        <v>98.33</v>
      </c>
      <c r="Q196" s="31">
        <v>75355</v>
      </c>
      <c r="R196" s="31">
        <v>79796.539999999994</v>
      </c>
      <c r="S196" s="31">
        <v>85177.706999999995</v>
      </c>
      <c r="T196" s="31">
        <v>92443</v>
      </c>
      <c r="U196" s="31">
        <v>96355</v>
      </c>
      <c r="V196" s="31">
        <f t="shared" si="38"/>
        <v>1558267.6146446499</v>
      </c>
      <c r="W196" s="31">
        <f t="shared" si="39"/>
        <v>1492720.7349153101</v>
      </c>
      <c r="X196" s="31">
        <f t="shared" si="40"/>
        <v>1445793.1708608139</v>
      </c>
      <c r="Y196" s="31">
        <f t="shared" ref="Y196:Z200" si="46">J196*T196*(O196/100)</f>
        <v>1442945.5602899999</v>
      </c>
      <c r="Z196" s="31">
        <f t="shared" si="46"/>
        <v>1335916.7881499999</v>
      </c>
      <c r="AA196" s="84">
        <v>0.9380000300000001</v>
      </c>
      <c r="AB196" s="84">
        <v>0.92400002000000003</v>
      </c>
      <c r="AC196" s="84">
        <v>0.94000000000000006</v>
      </c>
      <c r="AD196">
        <f t="shared" si="41"/>
        <v>1379273.9889161612</v>
      </c>
      <c r="AE196" s="84">
        <f t="shared" si="42"/>
        <v>86747.590251648755</v>
      </c>
      <c r="AF196" s="2">
        <f t="shared" si="43"/>
        <v>733010.78958390502</v>
      </c>
    </row>
    <row r="197" spans="2:32" hidden="1" x14ac:dyDescent="0.25">
      <c r="B197" s="32" t="s">
        <v>359</v>
      </c>
      <c r="C197" s="21" t="s">
        <v>358</v>
      </c>
      <c r="D197" s="21"/>
      <c r="E197" s="21"/>
      <c r="F197" s="20">
        <v>732</v>
      </c>
      <c r="G197" s="31">
        <v>28.273</v>
      </c>
      <c r="H197" s="31">
        <v>25.08</v>
      </c>
      <c r="I197" s="31">
        <v>23.34</v>
      </c>
      <c r="J197" s="31"/>
      <c r="K197" s="31"/>
      <c r="L197" s="31">
        <v>93.552899999999994</v>
      </c>
      <c r="M197" s="31">
        <v>94.691100000000006</v>
      </c>
      <c r="N197" s="31">
        <v>95.579700000000003</v>
      </c>
      <c r="O197" s="31"/>
      <c r="P197" s="31"/>
      <c r="Q197" s="31"/>
      <c r="R197" s="31"/>
      <c r="S197" s="31"/>
      <c r="T197" s="31"/>
      <c r="U197" s="31"/>
      <c r="V197" s="31">
        <f t="shared" si="38"/>
        <v>0</v>
      </c>
      <c r="W197" s="31">
        <f t="shared" si="39"/>
        <v>0</v>
      </c>
      <c r="X197" s="31">
        <f t="shared" si="40"/>
        <v>0</v>
      </c>
      <c r="Y197" s="31">
        <f t="shared" si="46"/>
        <v>0</v>
      </c>
      <c r="Z197" s="31">
        <f t="shared" si="46"/>
        <v>0</v>
      </c>
      <c r="AA197" s="84">
        <v>0</v>
      </c>
      <c r="AB197" s="84">
        <v>0</v>
      </c>
      <c r="AC197" s="84">
        <v>0</v>
      </c>
      <c r="AD197">
        <f t="shared" si="41"/>
        <v>0</v>
      </c>
      <c r="AE197" s="84">
        <f t="shared" si="42"/>
        <v>0</v>
      </c>
      <c r="AF197" s="2">
        <f t="shared" ref="AF197:AF200" si="47">AVERAGE(AD197:AE197)</f>
        <v>0</v>
      </c>
    </row>
    <row r="198" spans="2:32" hidden="1" x14ac:dyDescent="0.25">
      <c r="B198" s="32" t="s">
        <v>107</v>
      </c>
      <c r="C198" s="21" t="s">
        <v>357</v>
      </c>
      <c r="D198" s="21" t="s">
        <v>356</v>
      </c>
      <c r="E198" s="21"/>
      <c r="F198" s="20">
        <v>887</v>
      </c>
      <c r="G198" s="31">
        <v>42.881</v>
      </c>
      <c r="H198" s="31">
        <v>38.576000000000001</v>
      </c>
      <c r="I198" s="31">
        <v>37.1</v>
      </c>
      <c r="J198" s="31">
        <v>37.200000000000003</v>
      </c>
      <c r="K198" s="31">
        <v>34.1</v>
      </c>
      <c r="L198" s="31">
        <v>92.024900000000002</v>
      </c>
      <c r="M198" s="31">
        <v>93.080799999999996</v>
      </c>
      <c r="N198" s="31">
        <v>94.138499999999993</v>
      </c>
      <c r="O198" s="31">
        <f>100-4.44</f>
        <v>95.56</v>
      </c>
      <c r="P198" s="31">
        <f>100-3.66</f>
        <v>96.34</v>
      </c>
      <c r="Q198" s="31">
        <v>16614.341</v>
      </c>
      <c r="R198" s="31">
        <v>19289.736000000001</v>
      </c>
      <c r="S198" s="31">
        <v>22285.673999999999</v>
      </c>
      <c r="T198" s="31">
        <v>27980</v>
      </c>
      <c r="U198" s="31">
        <v>32232</v>
      </c>
      <c r="V198" s="31">
        <f t="shared" si="38"/>
        <v>655621.78935686883</v>
      </c>
      <c r="W198" s="31">
        <f t="shared" si="39"/>
        <v>692633.64567207615</v>
      </c>
      <c r="X198" s="31">
        <f t="shared" si="40"/>
        <v>778335.71100597898</v>
      </c>
      <c r="Y198" s="31">
        <f t="shared" si="46"/>
        <v>994641.99360000016</v>
      </c>
      <c r="Z198" s="31">
        <f t="shared" si="46"/>
        <v>1058883.7300799999</v>
      </c>
      <c r="AA198" s="84">
        <v>0.49</v>
      </c>
      <c r="AB198" s="84">
        <v>0.56400002000000005</v>
      </c>
      <c r="AC198" s="84">
        <v>0.66</v>
      </c>
      <c r="AD198">
        <f t="shared" si="41"/>
        <v>390645.39001172391</v>
      </c>
      <c r="AE198" s="84">
        <f t="shared" si="42"/>
        <v>264634.14174203284</v>
      </c>
      <c r="AF198" s="2">
        <f t="shared" si="47"/>
        <v>327639.7658768784</v>
      </c>
    </row>
    <row r="199" spans="2:32" hidden="1" x14ac:dyDescent="0.25">
      <c r="B199" s="32" t="s">
        <v>68</v>
      </c>
      <c r="C199" s="21" t="s">
        <v>355</v>
      </c>
      <c r="D199" s="21" t="s">
        <v>356</v>
      </c>
      <c r="E199" s="21"/>
      <c r="F199" s="20">
        <v>894</v>
      </c>
      <c r="G199" s="31">
        <v>45.058</v>
      </c>
      <c r="H199" s="31">
        <v>44.582000000000001</v>
      </c>
      <c r="I199" s="31">
        <v>43.152000000000001</v>
      </c>
      <c r="J199" s="31">
        <v>46.5</v>
      </c>
      <c r="K199" s="31">
        <v>46.1</v>
      </c>
      <c r="L199" s="31">
        <v>89.274500000000003</v>
      </c>
      <c r="M199" s="31">
        <v>89.579099999999997</v>
      </c>
      <c r="N199" s="31">
        <v>90.545199999999994</v>
      </c>
      <c r="O199" s="31">
        <f>100-8.1</f>
        <v>91.9</v>
      </c>
      <c r="P199" s="31">
        <f>100-7.18</f>
        <v>92.82</v>
      </c>
      <c r="Q199" s="31">
        <v>9650.4966000000004</v>
      </c>
      <c r="R199" s="31">
        <v>10970.882</v>
      </c>
      <c r="S199" s="31">
        <v>12325.487999999999</v>
      </c>
      <c r="T199" s="31">
        <v>15242</v>
      </c>
      <c r="U199" s="31">
        <v>17918</v>
      </c>
      <c r="V199" s="31">
        <f t="shared" si="38"/>
        <v>388194.16151257069</v>
      </c>
      <c r="W199" s="31">
        <f t="shared" si="39"/>
        <v>438134.83703928726</v>
      </c>
      <c r="X199" s="31">
        <f t="shared" si="40"/>
        <v>481582.26464437559</v>
      </c>
      <c r="Y199" s="31">
        <f t="shared" si="46"/>
        <v>651344.00699999998</v>
      </c>
      <c r="Z199" s="31">
        <f t="shared" si="46"/>
        <v>766711.57835999993</v>
      </c>
      <c r="AA199" s="84">
        <v>0.84199996999999993</v>
      </c>
      <c r="AB199" s="84">
        <v>0.84</v>
      </c>
      <c r="AC199" s="84">
        <v>0.81199997000000002</v>
      </c>
      <c r="AD199">
        <f t="shared" si="41"/>
        <v>368033.2631130013</v>
      </c>
      <c r="AE199" s="84">
        <f t="shared" si="42"/>
        <v>90537.480200610546</v>
      </c>
      <c r="AF199" s="2">
        <f t="shared" si="47"/>
        <v>229285.37165680592</v>
      </c>
    </row>
    <row r="200" spans="2:32" hidden="1" x14ac:dyDescent="0.25">
      <c r="B200" s="29" t="s">
        <v>67</v>
      </c>
      <c r="C200" s="28" t="s">
        <v>354</v>
      </c>
      <c r="D200" s="28" t="s">
        <v>353</v>
      </c>
      <c r="E200" s="28"/>
      <c r="F200" s="27">
        <v>716</v>
      </c>
      <c r="G200" s="26">
        <v>32.008000000000003</v>
      </c>
      <c r="H200" s="26">
        <v>30.256</v>
      </c>
      <c r="I200" s="26">
        <v>30.027999999999999</v>
      </c>
      <c r="J200" s="26">
        <v>28.7</v>
      </c>
      <c r="K200" s="26">
        <v>27.2</v>
      </c>
      <c r="L200" s="26">
        <v>93.622</v>
      </c>
      <c r="M200" s="26">
        <v>93.1113</v>
      </c>
      <c r="N200" s="26">
        <v>94.236999999999995</v>
      </c>
      <c r="O200" s="26">
        <f>100-4.73</f>
        <v>95.27</v>
      </c>
      <c r="P200" s="26">
        <f>100-4.1</f>
        <v>95.9</v>
      </c>
      <c r="Q200" s="26">
        <v>12066.944</v>
      </c>
      <c r="R200" s="26">
        <v>12495.584000000001</v>
      </c>
      <c r="S200" s="26">
        <v>12473.864</v>
      </c>
      <c r="T200" s="26">
        <v>14001</v>
      </c>
      <c r="U200" s="26">
        <v>15543</v>
      </c>
      <c r="V200" s="26">
        <f t="shared" si="38"/>
        <v>361604.43648825347</v>
      </c>
      <c r="W200" s="26">
        <f t="shared" si="39"/>
        <v>352022.53013023792</v>
      </c>
      <c r="X200" s="26">
        <f t="shared" si="40"/>
        <v>352978.99639649503</v>
      </c>
      <c r="Y200" s="31">
        <f t="shared" si="46"/>
        <v>382822.20249</v>
      </c>
      <c r="Z200" s="31">
        <f t="shared" si="46"/>
        <v>405436.04639999999</v>
      </c>
      <c r="AA200" s="84">
        <v>0.85800003000000002</v>
      </c>
      <c r="AB200" s="84">
        <v>0.73199996999999994</v>
      </c>
      <c r="AC200" s="84">
        <v>0.70599997999999997</v>
      </c>
      <c r="AD200">
        <f t="shared" si="41"/>
        <v>257680.48149465825</v>
      </c>
      <c r="AE200" s="84">
        <f t="shared" si="42"/>
        <v>103775.83200014947</v>
      </c>
      <c r="AF200" s="2">
        <f t="shared" si="47"/>
        <v>180728.15674740385</v>
      </c>
    </row>
    <row r="201" spans="2:32" x14ac:dyDescent="0.25">
      <c r="B201" s="24"/>
      <c r="C201" s="21"/>
      <c r="D201" s="21"/>
      <c r="E201" s="21"/>
      <c r="F201" s="20"/>
      <c r="G201" s="19"/>
      <c r="H201" s="19"/>
      <c r="I201" s="19"/>
      <c r="J201" s="19"/>
      <c r="K201" s="19"/>
      <c r="L201" s="19"/>
      <c r="M201" s="19"/>
      <c r="N201" s="19"/>
      <c r="O201" s="19"/>
      <c r="P201" s="19"/>
      <c r="Q201" s="19"/>
      <c r="R201" s="19"/>
      <c r="S201" s="19"/>
      <c r="T201" s="19"/>
      <c r="U201" s="19"/>
      <c r="V201" s="19"/>
      <c r="W201" s="19"/>
      <c r="X201" s="19"/>
      <c r="Y201" s="19"/>
      <c r="Z201" s="31"/>
    </row>
    <row r="202" spans="2:32" x14ac:dyDescent="0.25">
      <c r="B202" t="s">
        <v>352</v>
      </c>
      <c r="C202" s="21"/>
      <c r="D202" s="21"/>
      <c r="E202" s="21"/>
      <c r="F202" s="20"/>
      <c r="G202" s="19"/>
      <c r="H202" s="19"/>
      <c r="I202" s="19"/>
      <c r="J202" s="19"/>
      <c r="K202" s="19"/>
      <c r="L202" s="19"/>
      <c r="M202" s="19"/>
      <c r="N202" s="19"/>
      <c r="O202" s="19"/>
      <c r="P202" s="19"/>
      <c r="Q202" s="19"/>
      <c r="R202" s="19"/>
      <c r="S202" s="19"/>
      <c r="T202" s="19"/>
      <c r="U202" s="19"/>
      <c r="V202" s="19"/>
      <c r="W202" s="19"/>
      <c r="X202" s="19"/>
      <c r="Y202" s="19"/>
      <c r="Z202" s="31"/>
    </row>
    <row r="203" spans="2:32" x14ac:dyDescent="0.25">
      <c r="B203" t="s">
        <v>351</v>
      </c>
      <c r="C203" s="21"/>
      <c r="D203" s="21"/>
      <c r="E203" s="21"/>
      <c r="F203" s="20"/>
      <c r="G203" s="19"/>
      <c r="H203" s="19"/>
      <c r="I203" s="19"/>
      <c r="J203" s="19"/>
      <c r="K203" s="19"/>
      <c r="L203" s="19"/>
      <c r="M203" s="19"/>
      <c r="N203" s="19"/>
      <c r="O203" s="19"/>
      <c r="P203" s="19"/>
      <c r="Q203" s="19"/>
      <c r="R203" s="19"/>
      <c r="S203" s="19"/>
      <c r="T203" s="19"/>
      <c r="U203" s="19"/>
      <c r="V203" s="19"/>
      <c r="W203" s="19"/>
      <c r="X203" s="19"/>
      <c r="Y203" s="19"/>
      <c r="Z203" s="31"/>
    </row>
    <row r="204" spans="2:32" x14ac:dyDescent="0.25">
      <c r="B204" t="s">
        <v>350</v>
      </c>
      <c r="C204" s="21"/>
      <c r="D204" s="21"/>
      <c r="E204" s="21"/>
      <c r="F204" s="20"/>
      <c r="G204" s="19"/>
      <c r="H204" s="19"/>
      <c r="I204" s="19"/>
      <c r="J204" s="19"/>
      <c r="K204" s="19"/>
      <c r="L204" s="19"/>
      <c r="M204" s="19"/>
      <c r="N204" s="19"/>
      <c r="O204" s="19"/>
      <c r="P204" s="19"/>
      <c r="Q204" s="19"/>
      <c r="R204" s="19"/>
      <c r="S204" s="19"/>
      <c r="T204" s="19"/>
      <c r="U204" s="19"/>
      <c r="V204" s="19"/>
      <c r="W204" s="19"/>
      <c r="X204" s="19"/>
      <c r="Y204" s="19"/>
      <c r="Z204" s="31"/>
    </row>
    <row r="205" spans="2:32" x14ac:dyDescent="0.25">
      <c r="B205" t="s">
        <v>349</v>
      </c>
      <c r="C205" s="22"/>
      <c r="D205" s="22"/>
      <c r="E205" s="21"/>
      <c r="F205" s="20"/>
      <c r="G205" s="19"/>
      <c r="H205" s="19"/>
      <c r="I205" s="19"/>
      <c r="J205" s="19"/>
      <c r="K205" s="19"/>
      <c r="Z205" s="31"/>
    </row>
    <row r="206" spans="2:32" x14ac:dyDescent="0.25">
      <c r="B206"/>
      <c r="C206" s="21"/>
      <c r="D206" s="21"/>
      <c r="E206" s="21"/>
      <c r="F206" s="20"/>
      <c r="G206" s="19"/>
      <c r="H206" s="19"/>
      <c r="I206" s="19"/>
      <c r="J206" s="19"/>
      <c r="K206" s="19"/>
      <c r="Z206" s="31"/>
    </row>
    <row r="207" spans="2:32" x14ac:dyDescent="0.25">
      <c r="B207"/>
      <c r="C207" s="22"/>
      <c r="D207" s="22"/>
      <c r="E207" s="21"/>
      <c r="F207" s="20"/>
      <c r="G207" s="19"/>
      <c r="H207" s="19"/>
      <c r="I207" s="19"/>
      <c r="J207" s="19"/>
      <c r="K207" s="19"/>
    </row>
    <row r="208" spans="2:32" x14ac:dyDescent="0.25">
      <c r="B208"/>
      <c r="C208" s="21"/>
      <c r="D208" s="21"/>
      <c r="E208" s="21"/>
      <c r="F208" s="20"/>
      <c r="G208" s="19"/>
      <c r="H208" s="19"/>
      <c r="I208" s="19"/>
      <c r="J208" s="19"/>
      <c r="K208" s="19"/>
      <c r="AC208" s="23"/>
      <c r="AE208" s="23"/>
    </row>
    <row r="209" spans="2:11" x14ac:dyDescent="0.25">
      <c r="B209"/>
      <c r="C209" s="22"/>
      <c r="D209" s="22"/>
      <c r="E209" s="21"/>
      <c r="F209" s="20"/>
      <c r="G209" s="19"/>
      <c r="H209" s="19"/>
      <c r="I209" s="19"/>
      <c r="J209" s="19"/>
      <c r="K209" s="19"/>
    </row>
    <row r="210" spans="2:11" x14ac:dyDescent="0.25">
      <c r="B210"/>
      <c r="C210" s="21"/>
      <c r="D210" s="21"/>
      <c r="E210" s="21"/>
      <c r="F210" s="20"/>
      <c r="G210" s="19"/>
      <c r="H210" s="19"/>
      <c r="I210" s="19"/>
      <c r="J210" s="19"/>
      <c r="K210" s="19"/>
    </row>
  </sheetData>
  <autoFilter ref="B2:AC200">
    <filterColumn colId="2">
      <filters>
        <filter val="High income"/>
      </filters>
    </filterColumn>
    <filterColumn colId="5" showButton="0"/>
    <filterColumn colId="6" showButton="0"/>
    <filterColumn colId="10" showButton="0"/>
    <filterColumn colId="11" showButton="0"/>
    <filterColumn colId="15" showButton="0"/>
    <filterColumn colId="16" showButton="0"/>
    <filterColumn colId="20" showButton="0"/>
    <filterColumn colId="21" showButton="0"/>
    <filterColumn colId="25" showButton="0"/>
    <filterColumn colId="26" showButton="0"/>
  </autoFilter>
  <mergeCells count="10">
    <mergeCell ref="B2:B3"/>
    <mergeCell ref="Q2:S2"/>
    <mergeCell ref="D2:D3"/>
    <mergeCell ref="AA2:AC2"/>
    <mergeCell ref="V2:X2"/>
    <mergeCell ref="C2:C3"/>
    <mergeCell ref="L2:N2"/>
    <mergeCell ref="G2:I2"/>
    <mergeCell ref="F2:F3"/>
    <mergeCell ref="E2:E3"/>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6"/>
  <sheetViews>
    <sheetView workbookViewId="0">
      <selection activeCell="E27" sqref="E27"/>
    </sheetView>
  </sheetViews>
  <sheetFormatPr defaultRowHeight="15" x14ac:dyDescent="0.25"/>
  <cols>
    <col min="1" max="1" width="15.85546875" bestFit="1" customWidth="1"/>
    <col min="2" max="2" width="19.28515625" bestFit="1" customWidth="1"/>
    <col min="3" max="3" width="12.140625" bestFit="1" customWidth="1"/>
  </cols>
  <sheetData>
    <row r="1" spans="1:4" x14ac:dyDescent="0.25">
      <c r="A1" t="s">
        <v>651</v>
      </c>
    </row>
    <row r="3" spans="1:4" x14ac:dyDescent="0.25">
      <c r="A3" t="s">
        <v>650</v>
      </c>
      <c r="B3" t="s">
        <v>649</v>
      </c>
      <c r="C3" t="s">
        <v>647</v>
      </c>
      <c r="D3">
        <v>0.15529999999999999</v>
      </c>
    </row>
    <row r="4" spans="1:4" x14ac:dyDescent="0.25">
      <c r="A4" t="s">
        <v>650</v>
      </c>
      <c r="B4" t="s">
        <v>649</v>
      </c>
      <c r="C4" t="s">
        <v>617</v>
      </c>
      <c r="D4">
        <v>0.12970000000000001</v>
      </c>
    </row>
    <row r="5" spans="1:4" x14ac:dyDescent="0.25">
      <c r="A5" t="s">
        <v>650</v>
      </c>
      <c r="B5" t="s">
        <v>649</v>
      </c>
      <c r="C5" t="s">
        <v>616</v>
      </c>
      <c r="D5">
        <v>0.21429999999999999</v>
      </c>
    </row>
    <row r="6" spans="1:4" x14ac:dyDescent="0.25">
      <c r="A6" t="s">
        <v>650</v>
      </c>
      <c r="B6" t="s">
        <v>649</v>
      </c>
      <c r="C6" t="s">
        <v>615</v>
      </c>
      <c r="D6">
        <v>0.13239999999999999</v>
      </c>
    </row>
    <row r="8" spans="1:4" x14ac:dyDescent="0.25">
      <c r="A8" t="s">
        <v>648</v>
      </c>
    </row>
    <row r="9" spans="1:4" x14ac:dyDescent="0.25">
      <c r="A9" t="s">
        <v>647</v>
      </c>
      <c r="B9" t="s">
        <v>646</v>
      </c>
    </row>
    <row r="10" spans="1:4" x14ac:dyDescent="0.25">
      <c r="A10" t="s">
        <v>617</v>
      </c>
      <c r="B10">
        <v>0.74670000000000003</v>
      </c>
    </row>
    <row r="11" spans="1:4" x14ac:dyDescent="0.25">
      <c r="A11" t="s">
        <v>616</v>
      </c>
      <c r="B11">
        <v>3.7829000000000002</v>
      </c>
    </row>
    <row r="12" spans="1:4" x14ac:dyDescent="0.25">
      <c r="A12" t="s">
        <v>615</v>
      </c>
      <c r="B12">
        <v>3.8460000000000001</v>
      </c>
    </row>
    <row r="13" spans="1:4" x14ac:dyDescent="0.25">
      <c r="A13" t="s">
        <v>639</v>
      </c>
      <c r="B13">
        <v>5.0731999999999999</v>
      </c>
    </row>
    <row r="15" spans="1:4" x14ac:dyDescent="0.25">
      <c r="A15" t="s">
        <v>44</v>
      </c>
      <c r="B15">
        <v>7.0199999999999999E-2</v>
      </c>
    </row>
    <row r="16" spans="1:4" x14ac:dyDescent="0.25">
      <c r="A16" t="s">
        <v>55</v>
      </c>
      <c r="B16">
        <v>3.78E-2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79"/>
  <sheetViews>
    <sheetView zoomScaleNormal="100" workbookViewId="0">
      <selection activeCell="G36" sqref="G36"/>
    </sheetView>
  </sheetViews>
  <sheetFormatPr defaultRowHeight="15" x14ac:dyDescent="0.25"/>
  <cols>
    <col min="1" max="2" width="9.140625" style="60"/>
    <col min="3" max="3" width="46.42578125" style="60" bestFit="1" customWidth="1"/>
    <col min="4" max="5" width="9.140625" style="60"/>
    <col min="6" max="6" width="20.42578125" style="60" bestFit="1" customWidth="1"/>
    <col min="7" max="8" width="9.140625" style="60"/>
    <col min="9" max="11" width="9.140625" style="61"/>
    <col min="12" max="16384" width="9.140625" style="60"/>
  </cols>
  <sheetData>
    <row r="1" spans="1:12" x14ac:dyDescent="0.25">
      <c r="A1" s="63" t="s">
        <v>645</v>
      </c>
      <c r="B1" s="63" t="s">
        <v>644</v>
      </c>
      <c r="C1" s="63" t="s">
        <v>643</v>
      </c>
      <c r="D1" s="63" t="s">
        <v>642</v>
      </c>
      <c r="E1" s="63" t="s">
        <v>641</v>
      </c>
    </row>
    <row r="2" spans="1:12" x14ac:dyDescent="0.25">
      <c r="A2" s="62" t="s">
        <v>630</v>
      </c>
      <c r="B2" s="62" t="s">
        <v>570</v>
      </c>
      <c r="C2" s="62" t="s">
        <v>106</v>
      </c>
      <c r="D2" s="62">
        <v>1989</v>
      </c>
      <c r="E2" s="62">
        <v>1609</v>
      </c>
      <c r="F2" s="21" t="s">
        <v>353</v>
      </c>
    </row>
    <row r="3" spans="1:12" x14ac:dyDescent="0.25">
      <c r="A3" s="62" t="s">
        <v>633</v>
      </c>
      <c r="B3" s="62" t="s">
        <v>569</v>
      </c>
      <c r="C3" s="62" t="s">
        <v>232</v>
      </c>
      <c r="D3" s="62">
        <v>10</v>
      </c>
      <c r="E3" s="62"/>
      <c r="F3" s="21" t="s">
        <v>361</v>
      </c>
    </row>
    <row r="4" spans="1:12" x14ac:dyDescent="0.25">
      <c r="A4" s="62" t="s">
        <v>629</v>
      </c>
      <c r="B4" s="62" t="s">
        <v>568</v>
      </c>
      <c r="C4" s="62" t="s">
        <v>231</v>
      </c>
      <c r="D4" s="62">
        <v>103</v>
      </c>
      <c r="E4" s="62">
        <v>1796</v>
      </c>
      <c r="F4" s="21" t="s">
        <v>361</v>
      </c>
    </row>
    <row r="5" spans="1:12" x14ac:dyDescent="0.25">
      <c r="A5" s="62" t="s">
        <v>629</v>
      </c>
      <c r="B5" s="62" t="s">
        <v>567</v>
      </c>
      <c r="C5" s="62" t="s">
        <v>62</v>
      </c>
      <c r="D5" s="62">
        <v>1190</v>
      </c>
      <c r="E5" s="62">
        <v>29069</v>
      </c>
      <c r="F5" s="21" t="s">
        <v>356</v>
      </c>
      <c r="J5" s="61" t="s">
        <v>640</v>
      </c>
      <c r="K5" s="61">
        <v>1990</v>
      </c>
      <c r="L5" s="60">
        <v>2010</v>
      </c>
    </row>
    <row r="6" spans="1:12" x14ac:dyDescent="0.25">
      <c r="A6" s="62" t="s">
        <v>632</v>
      </c>
      <c r="B6" s="62" t="s">
        <v>566</v>
      </c>
      <c r="C6" s="62" t="s">
        <v>228</v>
      </c>
      <c r="D6" s="62">
        <v>17</v>
      </c>
      <c r="E6" s="62">
        <v>1967</v>
      </c>
      <c r="F6" s="21" t="s">
        <v>361</v>
      </c>
      <c r="J6" s="61" t="s">
        <v>617</v>
      </c>
      <c r="K6" s="61">
        <v>291511</v>
      </c>
      <c r="L6" s="60">
        <v>168171</v>
      </c>
    </row>
    <row r="7" spans="1:12" x14ac:dyDescent="0.25">
      <c r="A7" s="62" t="s">
        <v>633</v>
      </c>
      <c r="B7" s="62" t="s">
        <v>565</v>
      </c>
      <c r="C7" s="62" t="s">
        <v>61</v>
      </c>
      <c r="D7" s="62">
        <v>2</v>
      </c>
      <c r="E7" s="62">
        <v>879</v>
      </c>
      <c r="F7" s="21" t="s">
        <v>356</v>
      </c>
      <c r="J7" s="61" t="s">
        <v>616</v>
      </c>
      <c r="K7" s="61">
        <v>229659</v>
      </c>
      <c r="L7" s="60">
        <v>13589</v>
      </c>
    </row>
    <row r="8" spans="1:12" x14ac:dyDescent="0.25">
      <c r="A8" s="62" t="s">
        <v>631</v>
      </c>
      <c r="B8" s="62" t="s">
        <v>562</v>
      </c>
      <c r="C8" s="62" t="s">
        <v>227</v>
      </c>
      <c r="D8" s="62"/>
      <c r="E8" s="62">
        <v>880</v>
      </c>
      <c r="F8" s="21" t="s">
        <v>366</v>
      </c>
      <c r="J8" s="61" t="s">
        <v>637</v>
      </c>
      <c r="K8" s="61">
        <v>409453</v>
      </c>
      <c r="L8" s="60">
        <v>102667</v>
      </c>
    </row>
    <row r="9" spans="1:12" x14ac:dyDescent="0.25">
      <c r="A9" s="62" t="s">
        <v>633</v>
      </c>
      <c r="B9" s="62" t="s">
        <v>561</v>
      </c>
      <c r="C9" s="62" t="s">
        <v>226</v>
      </c>
      <c r="D9" s="62">
        <v>52</v>
      </c>
      <c r="E9" s="62"/>
      <c r="F9" s="21" t="s">
        <v>366</v>
      </c>
      <c r="J9" s="61" t="s">
        <v>615</v>
      </c>
      <c r="K9" s="61">
        <v>230406</v>
      </c>
      <c r="L9" s="60">
        <v>5224</v>
      </c>
    </row>
    <row r="10" spans="1:12" x14ac:dyDescent="0.25">
      <c r="A10" s="62" t="s">
        <v>633</v>
      </c>
      <c r="B10" s="62" t="s">
        <v>560</v>
      </c>
      <c r="C10" s="62" t="s">
        <v>224</v>
      </c>
      <c r="D10" s="62">
        <v>0</v>
      </c>
      <c r="E10" s="62">
        <v>2026</v>
      </c>
      <c r="F10" s="21" t="s">
        <v>361</v>
      </c>
      <c r="J10" s="61" t="s">
        <v>639</v>
      </c>
      <c r="K10" s="61">
        <v>163558</v>
      </c>
      <c r="L10" s="60">
        <v>9283</v>
      </c>
    </row>
    <row r="11" spans="1:12" x14ac:dyDescent="0.25">
      <c r="A11" s="62" t="s">
        <v>632</v>
      </c>
      <c r="B11" s="62" t="s">
        <v>559</v>
      </c>
      <c r="C11" s="62" t="s">
        <v>223</v>
      </c>
      <c r="D11" s="62">
        <v>0</v>
      </c>
      <c r="E11" s="62">
        <v>72</v>
      </c>
      <c r="F11" s="21" t="s">
        <v>366</v>
      </c>
    </row>
    <row r="12" spans="1:12" x14ac:dyDescent="0.25">
      <c r="A12" s="62" t="s">
        <v>630</v>
      </c>
      <c r="B12" s="62" t="s">
        <v>558</v>
      </c>
      <c r="C12" s="62" t="s">
        <v>222</v>
      </c>
      <c r="D12" s="62">
        <v>0</v>
      </c>
      <c r="E12" s="62">
        <v>59</v>
      </c>
      <c r="F12" s="21" t="s">
        <v>366</v>
      </c>
    </row>
    <row r="13" spans="1:12" x14ac:dyDescent="0.25">
      <c r="A13" s="62" t="s">
        <v>635</v>
      </c>
      <c r="B13" s="62" t="s">
        <v>557</v>
      </c>
      <c r="C13" s="62" t="s">
        <v>105</v>
      </c>
      <c r="D13" s="62">
        <v>788</v>
      </c>
      <c r="E13" s="62">
        <v>1705</v>
      </c>
      <c r="F13" s="21" t="s">
        <v>353</v>
      </c>
    </row>
    <row r="14" spans="1:12" x14ac:dyDescent="0.25">
      <c r="A14" s="62" t="s">
        <v>632</v>
      </c>
      <c r="B14" s="62" t="s">
        <v>556</v>
      </c>
      <c r="C14" s="62" t="s">
        <v>221</v>
      </c>
      <c r="D14" s="62">
        <v>0</v>
      </c>
      <c r="E14" s="62">
        <v>51</v>
      </c>
      <c r="F14" s="21" t="s">
        <v>366</v>
      </c>
    </row>
    <row r="15" spans="1:12" x14ac:dyDescent="0.25">
      <c r="A15" s="62" t="s">
        <v>633</v>
      </c>
      <c r="B15" s="62" t="s">
        <v>555</v>
      </c>
      <c r="C15" s="62" t="s">
        <v>220</v>
      </c>
      <c r="D15" s="62">
        <v>1</v>
      </c>
      <c r="E15" s="62">
        <v>224</v>
      </c>
      <c r="F15" s="21" t="s">
        <v>361</v>
      </c>
    </row>
    <row r="16" spans="1:12" x14ac:dyDescent="0.25">
      <c r="A16" s="62" t="s">
        <v>633</v>
      </c>
      <c r="B16" s="62" t="s">
        <v>554</v>
      </c>
      <c r="C16" s="62" t="s">
        <v>219</v>
      </c>
      <c r="D16" s="62">
        <v>40</v>
      </c>
      <c r="E16" s="62"/>
      <c r="F16" s="21" t="s">
        <v>366</v>
      </c>
    </row>
    <row r="17" spans="1:6" x14ac:dyDescent="0.25">
      <c r="A17" s="62" t="s">
        <v>632</v>
      </c>
      <c r="B17" s="62" t="s">
        <v>553</v>
      </c>
      <c r="C17" s="62" t="s">
        <v>218</v>
      </c>
      <c r="D17" s="62">
        <v>0</v>
      </c>
      <c r="E17" s="62">
        <v>25</v>
      </c>
      <c r="F17" s="21" t="s">
        <v>356</v>
      </c>
    </row>
    <row r="18" spans="1:6" x14ac:dyDescent="0.25">
      <c r="A18" s="62" t="s">
        <v>629</v>
      </c>
      <c r="B18" s="62" t="s">
        <v>552</v>
      </c>
      <c r="C18" s="62" t="s">
        <v>104</v>
      </c>
      <c r="D18" s="62">
        <v>392</v>
      </c>
      <c r="E18" s="62"/>
      <c r="F18" s="21" t="s">
        <v>353</v>
      </c>
    </row>
    <row r="19" spans="1:6" x14ac:dyDescent="0.25">
      <c r="A19" s="62" t="s">
        <v>635</v>
      </c>
      <c r="B19" s="62" t="s">
        <v>551</v>
      </c>
      <c r="C19" s="62" t="s">
        <v>59</v>
      </c>
      <c r="D19" s="62">
        <v>97</v>
      </c>
      <c r="E19" s="62">
        <v>173</v>
      </c>
      <c r="F19" s="21" t="s">
        <v>356</v>
      </c>
    </row>
    <row r="20" spans="1:6" x14ac:dyDescent="0.25">
      <c r="A20" s="62" t="s">
        <v>632</v>
      </c>
      <c r="B20" s="62" t="s">
        <v>550</v>
      </c>
      <c r="C20" s="62" t="s">
        <v>217</v>
      </c>
      <c r="D20" s="62">
        <v>0</v>
      </c>
      <c r="E20" s="62">
        <v>820</v>
      </c>
      <c r="F20" s="21" t="s">
        <v>356</v>
      </c>
    </row>
    <row r="21" spans="1:6" x14ac:dyDescent="0.25">
      <c r="A21" s="62" t="s">
        <v>633</v>
      </c>
      <c r="B21" s="62" t="s">
        <v>549</v>
      </c>
      <c r="C21" s="62" t="s">
        <v>216</v>
      </c>
      <c r="D21" s="62">
        <v>45</v>
      </c>
      <c r="E21" s="62">
        <v>512</v>
      </c>
      <c r="F21" s="21" t="s">
        <v>361</v>
      </c>
    </row>
    <row r="22" spans="1:6" x14ac:dyDescent="0.25">
      <c r="A22" s="62" t="s">
        <v>629</v>
      </c>
      <c r="B22" s="62" t="s">
        <v>548</v>
      </c>
      <c r="C22" s="62" t="s">
        <v>215</v>
      </c>
      <c r="D22" s="62">
        <v>853</v>
      </c>
      <c r="E22" s="62">
        <v>1218</v>
      </c>
      <c r="F22" s="21" t="s">
        <v>361</v>
      </c>
    </row>
    <row r="23" spans="1:6" x14ac:dyDescent="0.25">
      <c r="A23" s="62" t="s">
        <v>632</v>
      </c>
      <c r="B23" s="62" t="s">
        <v>547</v>
      </c>
      <c r="C23" s="62" t="s">
        <v>213</v>
      </c>
      <c r="D23" s="62">
        <v>68</v>
      </c>
      <c r="E23" s="62">
        <v>61435</v>
      </c>
      <c r="F23" s="21" t="s">
        <v>361</v>
      </c>
    </row>
    <row r="24" spans="1:6" x14ac:dyDescent="0.25">
      <c r="A24" s="62" t="s">
        <v>631</v>
      </c>
      <c r="B24" s="62" t="s">
        <v>546</v>
      </c>
      <c r="C24" s="62" t="s">
        <v>212</v>
      </c>
      <c r="D24" s="62">
        <v>0</v>
      </c>
      <c r="E24" s="62">
        <v>12</v>
      </c>
      <c r="F24" s="21" t="s">
        <v>366</v>
      </c>
    </row>
    <row r="25" spans="1:6" x14ac:dyDescent="0.25">
      <c r="A25" s="62" t="s">
        <v>633</v>
      </c>
      <c r="B25" s="62" t="s">
        <v>545</v>
      </c>
      <c r="C25" s="62" t="s">
        <v>211</v>
      </c>
      <c r="D25" s="62"/>
      <c r="E25" s="62">
        <v>147</v>
      </c>
      <c r="F25" s="21" t="s">
        <v>361</v>
      </c>
    </row>
    <row r="26" spans="1:6" x14ac:dyDescent="0.25">
      <c r="A26" s="62" t="s">
        <v>629</v>
      </c>
      <c r="B26" s="62" t="s">
        <v>544</v>
      </c>
      <c r="C26" s="62" t="s">
        <v>103</v>
      </c>
      <c r="D26" s="62">
        <v>2511</v>
      </c>
      <c r="E26" s="62">
        <v>9804</v>
      </c>
      <c r="F26" s="21" t="s">
        <v>353</v>
      </c>
    </row>
    <row r="27" spans="1:6" x14ac:dyDescent="0.25">
      <c r="A27" s="62" t="s">
        <v>629</v>
      </c>
      <c r="B27" s="62" t="s">
        <v>543</v>
      </c>
      <c r="C27" s="62" t="s">
        <v>102</v>
      </c>
      <c r="D27" s="62">
        <v>495</v>
      </c>
      <c r="E27" s="62">
        <v>13282</v>
      </c>
      <c r="F27" s="21" t="s">
        <v>353</v>
      </c>
    </row>
    <row r="28" spans="1:6" x14ac:dyDescent="0.25">
      <c r="A28" s="62" t="s">
        <v>631</v>
      </c>
      <c r="B28" s="62" t="s">
        <v>542</v>
      </c>
      <c r="C28" s="62" t="s">
        <v>101</v>
      </c>
      <c r="D28" s="62">
        <v>1156</v>
      </c>
      <c r="E28" s="62">
        <v>2473</v>
      </c>
      <c r="F28" s="21" t="s">
        <v>353</v>
      </c>
    </row>
    <row r="29" spans="1:6" x14ac:dyDescent="0.25">
      <c r="A29" s="62" t="s">
        <v>629</v>
      </c>
      <c r="B29" s="62" t="s">
        <v>541</v>
      </c>
      <c r="C29" s="62" t="s">
        <v>57</v>
      </c>
      <c r="D29" s="62">
        <v>240</v>
      </c>
      <c r="E29" s="62">
        <v>21150</v>
      </c>
      <c r="F29" s="21" t="s">
        <v>356</v>
      </c>
    </row>
    <row r="30" spans="1:6" x14ac:dyDescent="0.25">
      <c r="A30" s="62" t="s">
        <v>632</v>
      </c>
      <c r="B30" s="62" t="s">
        <v>540</v>
      </c>
      <c r="C30" s="62" t="s">
        <v>210</v>
      </c>
      <c r="D30" s="62">
        <v>99</v>
      </c>
      <c r="E30" s="62">
        <v>1033</v>
      </c>
      <c r="F30" s="21" t="s">
        <v>366</v>
      </c>
    </row>
    <row r="31" spans="1:6" x14ac:dyDescent="0.25">
      <c r="A31" s="62" t="s">
        <v>629</v>
      </c>
      <c r="B31" s="62" t="s">
        <v>539</v>
      </c>
      <c r="C31" s="62" t="s">
        <v>56</v>
      </c>
      <c r="D31" s="62"/>
      <c r="E31" s="62">
        <v>0</v>
      </c>
      <c r="F31" s="21" t="s">
        <v>356</v>
      </c>
    </row>
    <row r="32" spans="1:6" x14ac:dyDescent="0.25">
      <c r="A32" s="62" t="s">
        <v>629</v>
      </c>
      <c r="B32" s="62" t="s">
        <v>538</v>
      </c>
      <c r="C32" s="62" t="s">
        <v>100</v>
      </c>
      <c r="D32" s="62">
        <v>2</v>
      </c>
      <c r="E32" s="62">
        <v>1275</v>
      </c>
      <c r="F32" s="21" t="s">
        <v>353</v>
      </c>
    </row>
    <row r="33" spans="1:6" x14ac:dyDescent="0.25">
      <c r="A33" s="62" t="s">
        <v>629</v>
      </c>
      <c r="B33" s="62" t="s">
        <v>537</v>
      </c>
      <c r="C33" s="62" t="s">
        <v>99</v>
      </c>
      <c r="D33" s="62">
        <v>194</v>
      </c>
      <c r="E33" s="62">
        <v>7226</v>
      </c>
      <c r="F33" s="21" t="s">
        <v>353</v>
      </c>
    </row>
    <row r="34" spans="1:6" x14ac:dyDescent="0.25">
      <c r="A34" s="62" t="s">
        <v>632</v>
      </c>
      <c r="B34" s="62" t="s">
        <v>535</v>
      </c>
      <c r="C34" s="62" t="s">
        <v>209</v>
      </c>
      <c r="D34" s="62"/>
      <c r="E34" s="62">
        <v>1958</v>
      </c>
      <c r="F34" s="21" t="s">
        <v>361</v>
      </c>
    </row>
    <row r="35" spans="1:6" x14ac:dyDescent="0.25">
      <c r="A35" s="62" t="s">
        <v>631</v>
      </c>
      <c r="B35" s="62" t="s">
        <v>534</v>
      </c>
      <c r="C35" s="62" t="s">
        <v>55</v>
      </c>
      <c r="D35" s="62">
        <v>38159</v>
      </c>
      <c r="E35" s="62">
        <v>85705</v>
      </c>
      <c r="F35" s="21" t="s">
        <v>823</v>
      </c>
    </row>
    <row r="36" spans="1:6" x14ac:dyDescent="0.25">
      <c r="A36" s="62" t="s">
        <v>632</v>
      </c>
      <c r="B36" s="62" t="s">
        <v>529</v>
      </c>
      <c r="C36" s="62" t="s">
        <v>208</v>
      </c>
      <c r="D36" s="62">
        <v>0</v>
      </c>
      <c r="E36" s="62">
        <v>12520</v>
      </c>
      <c r="F36" s="21" t="s">
        <v>361</v>
      </c>
    </row>
    <row r="37" spans="1:6" x14ac:dyDescent="0.25">
      <c r="A37" s="62" t="s">
        <v>629</v>
      </c>
      <c r="B37" s="62" t="s">
        <v>528</v>
      </c>
      <c r="C37" s="62" t="s">
        <v>98</v>
      </c>
      <c r="D37" s="62">
        <v>0</v>
      </c>
      <c r="E37" s="62">
        <v>2328</v>
      </c>
      <c r="F37" s="21" t="s">
        <v>353</v>
      </c>
    </row>
    <row r="38" spans="1:6" x14ac:dyDescent="0.25">
      <c r="A38" s="62" t="s">
        <v>629</v>
      </c>
      <c r="B38" s="62" t="s">
        <v>527</v>
      </c>
      <c r="C38" s="62" t="s">
        <v>207</v>
      </c>
      <c r="D38" s="62">
        <v>4</v>
      </c>
      <c r="E38" s="62">
        <v>3608</v>
      </c>
      <c r="F38" s="21" t="s">
        <v>356</v>
      </c>
    </row>
    <row r="39" spans="1:6" x14ac:dyDescent="0.25">
      <c r="A39" s="62" t="s">
        <v>632</v>
      </c>
      <c r="B39" s="62" t="s">
        <v>526</v>
      </c>
      <c r="C39" s="62" t="s">
        <v>205</v>
      </c>
      <c r="D39" s="62">
        <v>0</v>
      </c>
      <c r="E39" s="62">
        <v>76</v>
      </c>
      <c r="F39" s="21" t="s">
        <v>361</v>
      </c>
    </row>
    <row r="40" spans="1:6" x14ac:dyDescent="0.25">
      <c r="A40" s="62" t="s">
        <v>629</v>
      </c>
      <c r="B40" s="62" t="s">
        <v>525</v>
      </c>
      <c r="C40" s="62" t="s">
        <v>53</v>
      </c>
      <c r="D40" s="62">
        <v>441</v>
      </c>
      <c r="E40" s="62">
        <v>17799</v>
      </c>
      <c r="F40" s="21" t="s">
        <v>356</v>
      </c>
    </row>
    <row r="41" spans="1:6" x14ac:dyDescent="0.25">
      <c r="A41" s="62" t="s">
        <v>633</v>
      </c>
      <c r="B41" s="62" t="s">
        <v>524</v>
      </c>
      <c r="C41" s="62" t="s">
        <v>203</v>
      </c>
      <c r="D41" s="62">
        <v>7</v>
      </c>
      <c r="E41" s="62">
        <v>119</v>
      </c>
      <c r="F41" s="21" t="s">
        <v>366</v>
      </c>
    </row>
    <row r="42" spans="1:6" x14ac:dyDescent="0.25">
      <c r="A42" s="62" t="s">
        <v>632</v>
      </c>
      <c r="B42" s="62" t="s">
        <v>523</v>
      </c>
      <c r="C42" s="62" t="s">
        <v>202</v>
      </c>
      <c r="D42" s="62">
        <v>0</v>
      </c>
      <c r="E42" s="62">
        <v>12</v>
      </c>
      <c r="F42" s="21" t="s">
        <v>361</v>
      </c>
    </row>
    <row r="43" spans="1:6" x14ac:dyDescent="0.25">
      <c r="A43" s="62" t="s">
        <v>633</v>
      </c>
      <c r="B43" s="62" t="s">
        <v>522</v>
      </c>
      <c r="C43" s="62" t="s">
        <v>201</v>
      </c>
      <c r="D43" s="62">
        <v>18</v>
      </c>
      <c r="E43" s="62">
        <v>4</v>
      </c>
      <c r="F43" s="21" t="s">
        <v>366</v>
      </c>
    </row>
    <row r="44" spans="1:6" x14ac:dyDescent="0.25">
      <c r="A44" s="62" t="s">
        <v>633</v>
      </c>
      <c r="B44" s="62" t="s">
        <v>521</v>
      </c>
      <c r="C44" s="62" t="s">
        <v>200</v>
      </c>
      <c r="D44" s="62">
        <v>0</v>
      </c>
      <c r="E44" s="62">
        <v>2420</v>
      </c>
      <c r="F44" s="21" t="s">
        <v>366</v>
      </c>
    </row>
    <row r="45" spans="1:6" x14ac:dyDescent="0.25">
      <c r="A45" s="62" t="s">
        <v>635</v>
      </c>
      <c r="B45" s="62" t="s">
        <v>519</v>
      </c>
      <c r="C45" s="62" t="s">
        <v>199</v>
      </c>
      <c r="D45" s="62"/>
      <c r="E45" s="62">
        <v>0</v>
      </c>
      <c r="F45" s="21" t="s">
        <v>353</v>
      </c>
    </row>
    <row r="46" spans="1:6" x14ac:dyDescent="0.25">
      <c r="A46" s="62" t="s">
        <v>629</v>
      </c>
      <c r="B46" s="62" t="s">
        <v>518</v>
      </c>
      <c r="C46" s="62" t="s">
        <v>198</v>
      </c>
      <c r="D46" s="62">
        <v>5407</v>
      </c>
      <c r="E46" s="62">
        <v>4564</v>
      </c>
      <c r="F46" s="21" t="s">
        <v>353</v>
      </c>
    </row>
    <row r="47" spans="1:6" x14ac:dyDescent="0.25">
      <c r="A47" s="62" t="s">
        <v>633</v>
      </c>
      <c r="B47" s="62" t="s">
        <v>517</v>
      </c>
      <c r="C47" s="62" t="s">
        <v>197</v>
      </c>
      <c r="D47" s="62">
        <v>5</v>
      </c>
      <c r="E47" s="62">
        <v>180</v>
      </c>
      <c r="F47" s="21" t="s">
        <v>366</v>
      </c>
    </row>
    <row r="48" spans="1:6" x14ac:dyDescent="0.25">
      <c r="A48" s="62" t="s">
        <v>630</v>
      </c>
      <c r="B48" s="62" t="s">
        <v>516</v>
      </c>
      <c r="C48" s="62" t="s">
        <v>52</v>
      </c>
      <c r="D48" s="62">
        <v>7</v>
      </c>
      <c r="E48" s="62">
        <v>104</v>
      </c>
      <c r="F48" s="21" t="s">
        <v>356</v>
      </c>
    </row>
    <row r="49" spans="1:6" x14ac:dyDescent="0.25">
      <c r="A49" s="62" t="s">
        <v>632</v>
      </c>
      <c r="B49" s="62" t="s">
        <v>515</v>
      </c>
      <c r="C49" s="62" t="s">
        <v>195</v>
      </c>
      <c r="D49" s="62">
        <v>0</v>
      </c>
      <c r="E49" s="62">
        <v>3477</v>
      </c>
      <c r="F49" s="21" t="s">
        <v>361</v>
      </c>
    </row>
    <row r="50" spans="1:6" x14ac:dyDescent="0.25">
      <c r="A50" s="62" t="s">
        <v>632</v>
      </c>
      <c r="B50" s="62" t="s">
        <v>514</v>
      </c>
      <c r="C50" s="62" t="s">
        <v>51</v>
      </c>
      <c r="D50" s="62">
        <v>0</v>
      </c>
      <c r="E50" s="62">
        <v>1646</v>
      </c>
      <c r="F50" s="21" t="s">
        <v>361</v>
      </c>
    </row>
    <row r="51" spans="1:6" x14ac:dyDescent="0.25">
      <c r="A51" s="62" t="s">
        <v>630</v>
      </c>
      <c r="B51" s="62" t="s">
        <v>513</v>
      </c>
      <c r="C51" s="62" t="s">
        <v>194</v>
      </c>
      <c r="D51" s="62">
        <v>461</v>
      </c>
      <c r="E51" s="62">
        <v>887</v>
      </c>
      <c r="F51" s="21" t="s">
        <v>356</v>
      </c>
    </row>
    <row r="52" spans="1:6" x14ac:dyDescent="0.25">
      <c r="A52" s="62" t="s">
        <v>632</v>
      </c>
      <c r="B52" s="62" t="s">
        <v>512</v>
      </c>
      <c r="C52" s="62" t="s">
        <v>49</v>
      </c>
      <c r="D52" s="62">
        <v>0</v>
      </c>
      <c r="E52" s="62">
        <v>0</v>
      </c>
      <c r="F52" s="21" t="s">
        <v>356</v>
      </c>
    </row>
    <row r="53" spans="1:6" x14ac:dyDescent="0.25">
      <c r="A53" s="62" t="s">
        <v>629</v>
      </c>
      <c r="B53" s="62" t="s">
        <v>511</v>
      </c>
      <c r="C53" s="62" t="s">
        <v>193</v>
      </c>
      <c r="D53" s="62">
        <v>0</v>
      </c>
      <c r="E53" s="62">
        <v>32</v>
      </c>
      <c r="F53" s="21" t="s">
        <v>366</v>
      </c>
    </row>
    <row r="54" spans="1:6" x14ac:dyDescent="0.25">
      <c r="A54" s="62" t="s">
        <v>629</v>
      </c>
      <c r="B54" s="62" t="s">
        <v>510</v>
      </c>
      <c r="C54" s="62" t="s">
        <v>96</v>
      </c>
      <c r="D54" s="62">
        <v>51</v>
      </c>
      <c r="E54" s="62"/>
      <c r="F54" s="21" t="s">
        <v>353</v>
      </c>
    </row>
    <row r="55" spans="1:6" x14ac:dyDescent="0.25">
      <c r="A55" s="62" t="s">
        <v>633</v>
      </c>
      <c r="B55" s="62" t="s">
        <v>509</v>
      </c>
      <c r="C55" s="62" t="s">
        <v>192</v>
      </c>
      <c r="D55" s="62">
        <v>0</v>
      </c>
      <c r="E55" s="62">
        <v>33</v>
      </c>
      <c r="F55" s="21" t="s">
        <v>366</v>
      </c>
    </row>
    <row r="56" spans="1:6" x14ac:dyDescent="0.25">
      <c r="A56" s="62" t="s">
        <v>629</v>
      </c>
      <c r="B56" s="62" t="s">
        <v>508</v>
      </c>
      <c r="C56" s="62" t="s">
        <v>95</v>
      </c>
      <c r="D56" s="62">
        <v>4235</v>
      </c>
      <c r="E56" s="62">
        <v>1836</v>
      </c>
      <c r="F56" s="21" t="s">
        <v>353</v>
      </c>
    </row>
    <row r="57" spans="1:6" x14ac:dyDescent="0.25">
      <c r="A57" s="62" t="s">
        <v>631</v>
      </c>
      <c r="B57" s="62" t="s">
        <v>507</v>
      </c>
      <c r="C57" s="62" t="s">
        <v>191</v>
      </c>
      <c r="D57" s="62"/>
      <c r="E57" s="62">
        <v>32</v>
      </c>
      <c r="F57" s="21" t="s">
        <v>356</v>
      </c>
    </row>
    <row r="58" spans="1:6" x14ac:dyDescent="0.25">
      <c r="A58" s="62" t="s">
        <v>633</v>
      </c>
      <c r="B58" s="62" t="s">
        <v>506</v>
      </c>
      <c r="C58" s="62" t="s">
        <v>190</v>
      </c>
      <c r="D58" s="62">
        <v>5</v>
      </c>
      <c r="E58" s="62">
        <v>3</v>
      </c>
      <c r="F58" s="21" t="s">
        <v>366</v>
      </c>
    </row>
    <row r="59" spans="1:6" x14ac:dyDescent="0.25">
      <c r="A59" s="62" t="s">
        <v>633</v>
      </c>
      <c r="B59" s="62" t="s">
        <v>505</v>
      </c>
      <c r="C59" s="62" t="s">
        <v>189</v>
      </c>
      <c r="D59" s="62">
        <v>5048</v>
      </c>
      <c r="E59" s="62"/>
      <c r="F59" s="21" t="s">
        <v>366</v>
      </c>
    </row>
    <row r="60" spans="1:6" x14ac:dyDescent="0.25">
      <c r="A60" s="62" t="s">
        <v>629</v>
      </c>
      <c r="B60" s="62" t="s">
        <v>500</v>
      </c>
      <c r="C60" s="62" t="s">
        <v>188</v>
      </c>
      <c r="D60" s="62">
        <v>1</v>
      </c>
      <c r="E60" s="62">
        <v>738</v>
      </c>
      <c r="F60" s="21" t="s">
        <v>361</v>
      </c>
    </row>
    <row r="61" spans="1:6" x14ac:dyDescent="0.25">
      <c r="A61" s="62" t="s">
        <v>629</v>
      </c>
      <c r="B61" s="62" t="s">
        <v>499</v>
      </c>
      <c r="C61" s="62" t="s">
        <v>187</v>
      </c>
      <c r="D61" s="62">
        <v>2</v>
      </c>
      <c r="E61" s="62"/>
      <c r="F61" s="21" t="s">
        <v>353</v>
      </c>
    </row>
    <row r="62" spans="1:6" x14ac:dyDescent="0.25">
      <c r="A62" s="62" t="s">
        <v>633</v>
      </c>
      <c r="B62" s="62" t="s">
        <v>498</v>
      </c>
      <c r="C62" s="62" t="s">
        <v>48</v>
      </c>
      <c r="D62" s="62">
        <v>22</v>
      </c>
      <c r="E62" s="62"/>
      <c r="F62" s="21" t="s">
        <v>356</v>
      </c>
    </row>
    <row r="63" spans="1:6" x14ac:dyDescent="0.25">
      <c r="A63" s="62" t="s">
        <v>633</v>
      </c>
      <c r="B63" s="62" t="s">
        <v>497</v>
      </c>
      <c r="C63" s="62" t="s">
        <v>186</v>
      </c>
      <c r="D63" s="62">
        <v>780</v>
      </c>
      <c r="E63" s="62"/>
      <c r="F63" s="21" t="s">
        <v>366</v>
      </c>
    </row>
    <row r="64" spans="1:6" x14ac:dyDescent="0.25">
      <c r="A64" s="62" t="s">
        <v>629</v>
      </c>
      <c r="B64" s="62" t="s">
        <v>496</v>
      </c>
      <c r="C64" s="62" t="s">
        <v>93</v>
      </c>
      <c r="D64" s="62">
        <v>641</v>
      </c>
      <c r="E64" s="62">
        <v>32246</v>
      </c>
      <c r="F64" s="21" t="s">
        <v>356</v>
      </c>
    </row>
    <row r="65" spans="1:6" x14ac:dyDescent="0.25">
      <c r="A65" s="62" t="s">
        <v>633</v>
      </c>
      <c r="B65" s="62" t="s">
        <v>495</v>
      </c>
      <c r="C65" s="62" t="s">
        <v>185</v>
      </c>
      <c r="D65" s="62">
        <v>149</v>
      </c>
      <c r="E65" s="62">
        <v>245</v>
      </c>
      <c r="F65" s="21" t="s">
        <v>366</v>
      </c>
    </row>
    <row r="66" spans="1:6" x14ac:dyDescent="0.25">
      <c r="A66" s="62" t="s">
        <v>632</v>
      </c>
      <c r="B66" s="62" t="s">
        <v>494</v>
      </c>
      <c r="C66" s="62" t="s">
        <v>184</v>
      </c>
      <c r="D66" s="62">
        <v>0</v>
      </c>
      <c r="E66" s="62">
        <v>6</v>
      </c>
      <c r="F66" s="21" t="s">
        <v>361</v>
      </c>
    </row>
    <row r="67" spans="1:6" x14ac:dyDescent="0.25">
      <c r="A67" s="62" t="s">
        <v>632</v>
      </c>
      <c r="B67" s="62" t="s">
        <v>489</v>
      </c>
      <c r="C67" s="62" t="s">
        <v>47</v>
      </c>
      <c r="D67" s="62">
        <v>0</v>
      </c>
      <c r="E67" s="62">
        <v>8802</v>
      </c>
      <c r="F67" s="21" t="s">
        <v>356</v>
      </c>
    </row>
    <row r="68" spans="1:6" x14ac:dyDescent="0.25">
      <c r="A68" s="62" t="s">
        <v>629</v>
      </c>
      <c r="B68" s="62" t="s">
        <v>488</v>
      </c>
      <c r="C68" s="62" t="s">
        <v>92</v>
      </c>
      <c r="D68" s="62">
        <v>45</v>
      </c>
      <c r="E68" s="62">
        <v>12756</v>
      </c>
      <c r="F68" s="21" t="s">
        <v>353</v>
      </c>
    </row>
    <row r="69" spans="1:6" x14ac:dyDescent="0.25">
      <c r="A69" s="62" t="s">
        <v>629</v>
      </c>
      <c r="B69" s="62" t="s">
        <v>487</v>
      </c>
      <c r="C69" s="62" t="s">
        <v>183</v>
      </c>
      <c r="D69" s="62">
        <v>26</v>
      </c>
      <c r="E69" s="62">
        <v>259</v>
      </c>
      <c r="F69" s="21" t="s">
        <v>353</v>
      </c>
    </row>
    <row r="70" spans="1:6" x14ac:dyDescent="0.25">
      <c r="A70" s="62" t="s">
        <v>632</v>
      </c>
      <c r="B70" s="62" t="s">
        <v>486</v>
      </c>
      <c r="C70" s="62" t="s">
        <v>46</v>
      </c>
      <c r="D70" s="62">
        <v>0</v>
      </c>
      <c r="E70" s="62">
        <v>1</v>
      </c>
      <c r="F70" s="21" t="s">
        <v>356</v>
      </c>
    </row>
    <row r="71" spans="1:6" x14ac:dyDescent="0.25">
      <c r="A71" s="62" t="s">
        <v>632</v>
      </c>
      <c r="B71" s="62" t="s">
        <v>485</v>
      </c>
      <c r="C71" s="62" t="s">
        <v>90</v>
      </c>
      <c r="D71" s="62">
        <v>24</v>
      </c>
      <c r="E71" s="62">
        <v>1414</v>
      </c>
      <c r="F71" s="21" t="s">
        <v>353</v>
      </c>
    </row>
    <row r="72" spans="1:6" x14ac:dyDescent="0.25">
      <c r="A72" s="62" t="s">
        <v>632</v>
      </c>
      <c r="B72" s="62" t="s">
        <v>484</v>
      </c>
      <c r="C72" s="62" t="s">
        <v>45</v>
      </c>
      <c r="D72" s="62">
        <v>0</v>
      </c>
      <c r="E72" s="62">
        <v>8360</v>
      </c>
      <c r="F72" s="21" t="s">
        <v>356</v>
      </c>
    </row>
    <row r="73" spans="1:6" x14ac:dyDescent="0.25">
      <c r="A73" s="62" t="s">
        <v>633</v>
      </c>
      <c r="B73" s="62" t="s">
        <v>483</v>
      </c>
      <c r="C73" s="62" t="s">
        <v>182</v>
      </c>
      <c r="D73" s="62">
        <v>0</v>
      </c>
      <c r="E73" s="62">
        <v>29</v>
      </c>
      <c r="F73" s="21" t="s">
        <v>366</v>
      </c>
    </row>
    <row r="74" spans="1:6" x14ac:dyDescent="0.25">
      <c r="A74" s="62" t="s">
        <v>633</v>
      </c>
      <c r="B74" s="62" t="s">
        <v>482</v>
      </c>
      <c r="C74" s="62" t="s">
        <v>181</v>
      </c>
      <c r="D74" s="62">
        <v>0</v>
      </c>
      <c r="E74" s="62">
        <v>14</v>
      </c>
      <c r="F74" s="21" t="s">
        <v>366</v>
      </c>
    </row>
    <row r="75" spans="1:6" x14ac:dyDescent="0.25">
      <c r="A75" s="62" t="s">
        <v>635</v>
      </c>
      <c r="B75" s="62" t="s">
        <v>481</v>
      </c>
      <c r="C75" s="62" t="s">
        <v>44</v>
      </c>
      <c r="D75" s="62">
        <v>29760</v>
      </c>
      <c r="E75" s="62">
        <v>89612</v>
      </c>
      <c r="F75" s="21" t="s">
        <v>823</v>
      </c>
    </row>
    <row r="76" spans="1:6" x14ac:dyDescent="0.25">
      <c r="A76" s="62" t="s">
        <v>635</v>
      </c>
      <c r="B76" s="62" t="s">
        <v>480</v>
      </c>
      <c r="C76" s="62" t="s">
        <v>43</v>
      </c>
      <c r="D76" s="62">
        <v>16529</v>
      </c>
      <c r="E76" s="62">
        <v>92105</v>
      </c>
      <c r="F76" s="21" t="s">
        <v>823</v>
      </c>
    </row>
    <row r="77" spans="1:6" x14ac:dyDescent="0.25">
      <c r="A77" s="62" t="s">
        <v>630</v>
      </c>
      <c r="B77" s="62" t="s">
        <v>479</v>
      </c>
      <c r="C77" s="62" t="s">
        <v>180</v>
      </c>
      <c r="D77" s="62">
        <v>538</v>
      </c>
      <c r="E77" s="62">
        <v>5341</v>
      </c>
      <c r="F77" s="21" t="s">
        <v>361</v>
      </c>
    </row>
    <row r="78" spans="1:6" x14ac:dyDescent="0.25">
      <c r="A78" s="62" t="s">
        <v>630</v>
      </c>
      <c r="B78" s="62" t="s">
        <v>478</v>
      </c>
      <c r="C78" s="62" t="s">
        <v>42</v>
      </c>
      <c r="D78" s="62">
        <v>492</v>
      </c>
      <c r="E78" s="62">
        <v>3045</v>
      </c>
      <c r="F78" s="21" t="s">
        <v>356</v>
      </c>
    </row>
    <row r="79" spans="1:6" x14ac:dyDescent="0.25">
      <c r="A79" s="62" t="s">
        <v>633</v>
      </c>
      <c r="B79" s="62" t="s">
        <v>477</v>
      </c>
      <c r="C79" s="62" t="s">
        <v>179</v>
      </c>
      <c r="D79" s="62">
        <v>443</v>
      </c>
      <c r="E79" s="62">
        <v>556</v>
      </c>
      <c r="F79" s="21" t="s">
        <v>366</v>
      </c>
    </row>
    <row r="80" spans="1:6" x14ac:dyDescent="0.25">
      <c r="A80" s="62" t="s">
        <v>633</v>
      </c>
      <c r="B80" s="62" t="s">
        <v>476</v>
      </c>
      <c r="C80" s="62" t="s">
        <v>178</v>
      </c>
      <c r="D80" s="62">
        <v>23</v>
      </c>
      <c r="E80" s="62">
        <v>230</v>
      </c>
      <c r="F80" s="21" t="s">
        <v>366</v>
      </c>
    </row>
    <row r="81" spans="1:6" x14ac:dyDescent="0.25">
      <c r="A81" s="62" t="s">
        <v>633</v>
      </c>
      <c r="B81" s="62" t="s">
        <v>475</v>
      </c>
      <c r="C81" s="62" t="s">
        <v>177</v>
      </c>
      <c r="D81" s="62">
        <v>372</v>
      </c>
      <c r="E81" s="62">
        <v>5223</v>
      </c>
      <c r="F81" s="21" t="s">
        <v>366</v>
      </c>
    </row>
    <row r="82" spans="1:6" x14ac:dyDescent="0.25">
      <c r="A82" s="62" t="s">
        <v>632</v>
      </c>
      <c r="B82" s="62" t="s">
        <v>474</v>
      </c>
      <c r="C82" s="62" t="s">
        <v>176</v>
      </c>
      <c r="D82" s="62">
        <v>0</v>
      </c>
      <c r="E82" s="62">
        <v>3651</v>
      </c>
      <c r="F82" s="21" t="s">
        <v>361</v>
      </c>
    </row>
    <row r="83" spans="1:6" x14ac:dyDescent="0.25">
      <c r="A83" s="62" t="s">
        <v>631</v>
      </c>
      <c r="B83" s="62" t="s">
        <v>473</v>
      </c>
      <c r="C83" s="62" t="s">
        <v>175</v>
      </c>
      <c r="D83" s="62">
        <v>450</v>
      </c>
      <c r="E83" s="62">
        <v>3259</v>
      </c>
      <c r="F83" s="21" t="s">
        <v>366</v>
      </c>
    </row>
    <row r="84" spans="1:6" x14ac:dyDescent="0.25">
      <c r="A84" s="62" t="s">
        <v>630</v>
      </c>
      <c r="B84" s="62" t="s">
        <v>472</v>
      </c>
      <c r="C84" s="62" t="s">
        <v>41</v>
      </c>
      <c r="D84" s="62">
        <v>0</v>
      </c>
      <c r="E84" s="62">
        <v>290</v>
      </c>
      <c r="F84" s="21" t="s">
        <v>361</v>
      </c>
    </row>
    <row r="85" spans="1:6" x14ac:dyDescent="0.25">
      <c r="A85" s="62" t="s">
        <v>633</v>
      </c>
      <c r="B85" s="62" t="s">
        <v>471</v>
      </c>
      <c r="C85" s="62" t="s">
        <v>174</v>
      </c>
      <c r="D85" s="62">
        <v>4</v>
      </c>
      <c r="E85" s="62">
        <v>273</v>
      </c>
      <c r="F85" s="21" t="s">
        <v>361</v>
      </c>
    </row>
    <row r="86" spans="1:6" x14ac:dyDescent="0.25">
      <c r="A86" s="62" t="s">
        <v>629</v>
      </c>
      <c r="B86" s="62" t="s">
        <v>470</v>
      </c>
      <c r="C86" s="62" t="s">
        <v>89</v>
      </c>
      <c r="D86" s="62">
        <v>95</v>
      </c>
      <c r="E86" s="62">
        <v>77072</v>
      </c>
      <c r="F86" s="21" t="s">
        <v>353</v>
      </c>
    </row>
    <row r="87" spans="1:6" x14ac:dyDescent="0.25">
      <c r="A87" s="62" t="s">
        <v>630</v>
      </c>
      <c r="B87" s="62" t="s">
        <v>469</v>
      </c>
      <c r="C87" s="62" t="s">
        <v>173</v>
      </c>
      <c r="D87" s="62">
        <v>13</v>
      </c>
      <c r="E87" s="62">
        <v>71</v>
      </c>
      <c r="F87" s="21" t="s">
        <v>366</v>
      </c>
    </row>
    <row r="88" spans="1:6" x14ac:dyDescent="0.25">
      <c r="A88" s="62" t="s">
        <v>633</v>
      </c>
      <c r="B88" s="62" t="s">
        <v>468</v>
      </c>
      <c r="C88" s="62" t="s">
        <v>172</v>
      </c>
      <c r="D88" s="62">
        <v>0</v>
      </c>
      <c r="E88" s="62">
        <v>584</v>
      </c>
      <c r="F88" s="21" t="s">
        <v>353</v>
      </c>
    </row>
    <row r="89" spans="1:6" x14ac:dyDescent="0.25">
      <c r="A89" s="62" t="s">
        <v>631</v>
      </c>
      <c r="B89" s="62" t="s">
        <v>467</v>
      </c>
      <c r="C89" s="62" t="s">
        <v>171</v>
      </c>
      <c r="D89" s="62">
        <v>153</v>
      </c>
      <c r="E89" s="62">
        <v>2168</v>
      </c>
      <c r="F89" s="21" t="s">
        <v>356</v>
      </c>
    </row>
    <row r="90" spans="1:6" x14ac:dyDescent="0.25">
      <c r="A90" s="62" t="s">
        <v>633</v>
      </c>
      <c r="B90" s="62" t="s">
        <v>466</v>
      </c>
      <c r="C90" s="62" t="s">
        <v>170</v>
      </c>
      <c r="D90" s="62">
        <v>0</v>
      </c>
      <c r="E90" s="62">
        <v>21</v>
      </c>
      <c r="F90" s="21" t="s">
        <v>366</v>
      </c>
    </row>
    <row r="91" spans="1:6" x14ac:dyDescent="0.25">
      <c r="A91" s="62" t="s">
        <v>630</v>
      </c>
      <c r="B91" s="62" t="s">
        <v>465</v>
      </c>
      <c r="C91" s="62" t="s">
        <v>169</v>
      </c>
      <c r="D91" s="62">
        <v>12</v>
      </c>
      <c r="E91" s="62"/>
      <c r="F91" s="21" t="s">
        <v>361</v>
      </c>
    </row>
    <row r="92" spans="1:6" x14ac:dyDescent="0.25">
      <c r="A92" s="62" t="s">
        <v>629</v>
      </c>
      <c r="B92" s="62" t="s">
        <v>464</v>
      </c>
      <c r="C92" s="62" t="s">
        <v>38</v>
      </c>
      <c r="D92" s="62">
        <v>2488</v>
      </c>
      <c r="E92" s="62">
        <v>2195</v>
      </c>
      <c r="F92" s="21" t="s">
        <v>356</v>
      </c>
    </row>
    <row r="93" spans="1:6" x14ac:dyDescent="0.25">
      <c r="A93" s="62" t="s">
        <v>629</v>
      </c>
      <c r="B93" s="62" t="s">
        <v>463</v>
      </c>
      <c r="C93" s="62" t="s">
        <v>85</v>
      </c>
      <c r="D93" s="62">
        <v>2200</v>
      </c>
      <c r="E93" s="62"/>
      <c r="F93" s="21" t="s">
        <v>353</v>
      </c>
    </row>
    <row r="94" spans="1:6" x14ac:dyDescent="0.25">
      <c r="A94" s="62" t="s">
        <v>630</v>
      </c>
      <c r="B94" s="62" t="s">
        <v>462</v>
      </c>
      <c r="C94" s="62" t="s">
        <v>168</v>
      </c>
      <c r="D94" s="62"/>
      <c r="E94" s="62">
        <v>931</v>
      </c>
      <c r="F94" s="21" t="s">
        <v>361</v>
      </c>
    </row>
    <row r="95" spans="1:6" x14ac:dyDescent="0.25">
      <c r="A95" s="62" t="s">
        <v>633</v>
      </c>
      <c r="B95" s="62" t="s">
        <v>461</v>
      </c>
      <c r="C95" s="62" t="s">
        <v>167</v>
      </c>
      <c r="D95" s="62">
        <v>2</v>
      </c>
      <c r="E95" s="62"/>
      <c r="F95" s="21" t="s">
        <v>361</v>
      </c>
    </row>
    <row r="96" spans="1:6" x14ac:dyDescent="0.25">
      <c r="A96" s="62" t="s">
        <v>633</v>
      </c>
      <c r="B96" s="62" t="s">
        <v>460</v>
      </c>
      <c r="C96" s="62" t="s">
        <v>166</v>
      </c>
      <c r="D96" s="62">
        <v>0</v>
      </c>
      <c r="E96" s="62">
        <v>16</v>
      </c>
      <c r="F96" s="21" t="s">
        <v>366</v>
      </c>
    </row>
    <row r="97" spans="1:6" x14ac:dyDescent="0.25">
      <c r="A97" s="62" t="s">
        <v>629</v>
      </c>
      <c r="B97" s="62" t="s">
        <v>459</v>
      </c>
      <c r="C97" s="62" t="s">
        <v>84</v>
      </c>
      <c r="D97" s="62">
        <v>1</v>
      </c>
      <c r="E97" s="62">
        <v>14459</v>
      </c>
      <c r="F97" s="21" t="s">
        <v>353</v>
      </c>
    </row>
    <row r="98" spans="1:6" x14ac:dyDescent="0.25">
      <c r="A98" s="62" t="s">
        <v>629</v>
      </c>
      <c r="B98" s="62" t="s">
        <v>458</v>
      </c>
      <c r="C98" s="62" t="s">
        <v>83</v>
      </c>
      <c r="D98" s="62">
        <v>118712</v>
      </c>
      <c r="E98" s="62"/>
      <c r="F98" s="21" t="s">
        <v>353</v>
      </c>
    </row>
    <row r="99" spans="1:6" x14ac:dyDescent="0.25">
      <c r="A99" s="62" t="s">
        <v>631</v>
      </c>
      <c r="B99" s="62" t="s">
        <v>457</v>
      </c>
      <c r="C99" s="62" t="s">
        <v>165</v>
      </c>
      <c r="D99" s="62">
        <v>73</v>
      </c>
      <c r="E99" s="62">
        <v>563</v>
      </c>
      <c r="F99" s="21" t="s">
        <v>361</v>
      </c>
    </row>
    <row r="100" spans="1:6" x14ac:dyDescent="0.25">
      <c r="A100" s="62" t="s">
        <v>635</v>
      </c>
      <c r="B100" s="62" t="s">
        <v>456</v>
      </c>
      <c r="C100" s="62" t="s">
        <v>37</v>
      </c>
      <c r="D100" s="62">
        <v>0</v>
      </c>
      <c r="E100" s="62">
        <v>0</v>
      </c>
      <c r="F100" s="21" t="s">
        <v>361</v>
      </c>
    </row>
    <row r="101" spans="1:6" x14ac:dyDescent="0.25">
      <c r="A101" s="62" t="s">
        <v>629</v>
      </c>
      <c r="B101" s="62" t="s">
        <v>455</v>
      </c>
      <c r="C101" s="62" t="s">
        <v>82</v>
      </c>
      <c r="D101" s="62">
        <v>1719</v>
      </c>
      <c r="E101" s="62">
        <v>1388</v>
      </c>
      <c r="F101" s="21" t="s">
        <v>353</v>
      </c>
    </row>
    <row r="102" spans="1:6" x14ac:dyDescent="0.25">
      <c r="A102" s="62" t="s">
        <v>633</v>
      </c>
      <c r="B102" s="62" t="s">
        <v>454</v>
      </c>
      <c r="C102" s="62" t="s">
        <v>164</v>
      </c>
      <c r="D102" s="62">
        <v>0</v>
      </c>
      <c r="E102" s="62">
        <v>6</v>
      </c>
      <c r="F102" s="21" t="s">
        <v>366</v>
      </c>
    </row>
    <row r="103" spans="1:6" x14ac:dyDescent="0.25">
      <c r="A103" s="62" t="s">
        <v>629</v>
      </c>
      <c r="B103" s="62" t="s">
        <v>451</v>
      </c>
      <c r="C103" s="62" t="s">
        <v>81</v>
      </c>
      <c r="D103" s="62">
        <v>1292</v>
      </c>
      <c r="E103" s="62">
        <v>1379</v>
      </c>
      <c r="F103" s="21" t="s">
        <v>356</v>
      </c>
    </row>
    <row r="104" spans="1:6" x14ac:dyDescent="0.25">
      <c r="A104" s="62" t="s">
        <v>629</v>
      </c>
      <c r="B104" s="62" t="s">
        <v>450</v>
      </c>
      <c r="C104" s="62" t="s">
        <v>163</v>
      </c>
      <c r="D104" s="62">
        <v>12</v>
      </c>
      <c r="E104" s="62">
        <v>1</v>
      </c>
      <c r="F104" s="21" t="s">
        <v>361</v>
      </c>
    </row>
    <row r="105" spans="1:6" x14ac:dyDescent="0.25">
      <c r="A105" s="62" t="s">
        <v>632</v>
      </c>
      <c r="B105" s="62" t="s">
        <v>448</v>
      </c>
      <c r="C105" s="62" t="s">
        <v>162</v>
      </c>
      <c r="D105" s="62">
        <v>0</v>
      </c>
      <c r="E105" s="62">
        <v>68782</v>
      </c>
      <c r="F105" s="21" t="s">
        <v>361</v>
      </c>
    </row>
    <row r="106" spans="1:6" x14ac:dyDescent="0.25">
      <c r="A106" s="62" t="s">
        <v>631</v>
      </c>
      <c r="B106" s="62" t="s">
        <v>446</v>
      </c>
      <c r="C106" s="62" t="s">
        <v>161</v>
      </c>
      <c r="D106" s="62"/>
      <c r="E106" s="62">
        <v>1</v>
      </c>
      <c r="F106" s="21" t="s">
        <v>356</v>
      </c>
    </row>
    <row r="107" spans="1:6" x14ac:dyDescent="0.25">
      <c r="A107" s="62" t="s">
        <v>631</v>
      </c>
      <c r="B107" s="62" t="s">
        <v>445</v>
      </c>
      <c r="C107" s="62" t="s">
        <v>33</v>
      </c>
      <c r="D107" s="62">
        <v>7</v>
      </c>
      <c r="E107" s="62">
        <v>296</v>
      </c>
      <c r="F107" s="21" t="s">
        <v>356</v>
      </c>
    </row>
    <row r="108" spans="1:6" x14ac:dyDescent="0.25">
      <c r="A108" s="62" t="s">
        <v>633</v>
      </c>
      <c r="B108" s="62" t="s">
        <v>638</v>
      </c>
      <c r="C108" s="62" t="s">
        <v>159</v>
      </c>
      <c r="D108" s="62">
        <v>5</v>
      </c>
      <c r="E108" s="62"/>
      <c r="F108" s="21" t="s">
        <v>361</v>
      </c>
    </row>
    <row r="109" spans="1:6" x14ac:dyDescent="0.25">
      <c r="A109" s="62" t="s">
        <v>630</v>
      </c>
      <c r="B109" s="62" t="s">
        <v>443</v>
      </c>
      <c r="C109" s="62" t="s">
        <v>32</v>
      </c>
      <c r="D109" s="62">
        <v>633</v>
      </c>
      <c r="E109" s="62">
        <v>1577</v>
      </c>
      <c r="F109" s="21" t="s">
        <v>356</v>
      </c>
    </row>
    <row r="110" spans="1:6" x14ac:dyDescent="0.25">
      <c r="A110" s="62" t="s">
        <v>629</v>
      </c>
      <c r="B110" s="62" t="s">
        <v>442</v>
      </c>
      <c r="C110" s="62" t="s">
        <v>80</v>
      </c>
      <c r="D110" s="62">
        <v>2321</v>
      </c>
      <c r="E110" s="62">
        <v>18082</v>
      </c>
      <c r="F110" s="21" t="s">
        <v>353</v>
      </c>
    </row>
    <row r="111" spans="1:6" x14ac:dyDescent="0.25">
      <c r="A111" s="62" t="s">
        <v>635</v>
      </c>
      <c r="B111" s="62" t="s">
        <v>441</v>
      </c>
      <c r="C111" s="62" t="s">
        <v>79</v>
      </c>
      <c r="D111" s="62">
        <v>190</v>
      </c>
      <c r="E111" s="62">
        <v>7900</v>
      </c>
      <c r="F111" s="21" t="s">
        <v>353</v>
      </c>
    </row>
    <row r="112" spans="1:6" x14ac:dyDescent="0.25">
      <c r="A112" s="62" t="s">
        <v>629</v>
      </c>
      <c r="B112" s="62" t="s">
        <v>440</v>
      </c>
      <c r="C112" s="62" t="s">
        <v>158</v>
      </c>
      <c r="D112" s="62">
        <v>3138</v>
      </c>
      <c r="E112" s="62"/>
      <c r="F112" s="21" t="s">
        <v>361</v>
      </c>
    </row>
    <row r="113" spans="1:6" x14ac:dyDescent="0.25">
      <c r="A113" s="62" t="s">
        <v>635</v>
      </c>
      <c r="B113" s="62" t="s">
        <v>439</v>
      </c>
      <c r="C113" s="62" t="s">
        <v>78</v>
      </c>
      <c r="D113" s="62">
        <v>190</v>
      </c>
      <c r="E113" s="62">
        <v>182</v>
      </c>
      <c r="F113" s="21" t="s">
        <v>353</v>
      </c>
    </row>
    <row r="114" spans="1:6" x14ac:dyDescent="0.25">
      <c r="A114" s="62" t="s">
        <v>633</v>
      </c>
      <c r="B114" s="62" t="s">
        <v>438</v>
      </c>
      <c r="C114" s="62" t="s">
        <v>156</v>
      </c>
      <c r="D114" s="62">
        <v>15</v>
      </c>
      <c r="E114" s="62">
        <v>16</v>
      </c>
      <c r="F114" s="21" t="s">
        <v>366</v>
      </c>
    </row>
    <row r="115" spans="1:6" x14ac:dyDescent="0.25">
      <c r="A115" s="62" t="s">
        <v>631</v>
      </c>
      <c r="B115" s="62" t="s">
        <v>433</v>
      </c>
      <c r="C115" s="62" t="s">
        <v>155</v>
      </c>
      <c r="D115" s="62">
        <v>43</v>
      </c>
      <c r="E115" s="62"/>
      <c r="F115" s="21" t="s">
        <v>366</v>
      </c>
    </row>
    <row r="116" spans="1:6" x14ac:dyDescent="0.25">
      <c r="A116" s="62" t="s">
        <v>632</v>
      </c>
      <c r="B116" s="62" t="s">
        <v>432</v>
      </c>
      <c r="C116" s="62" t="s">
        <v>31</v>
      </c>
      <c r="D116" s="62">
        <v>0</v>
      </c>
      <c r="E116" s="62">
        <v>0</v>
      </c>
      <c r="F116" s="21" t="s">
        <v>356</v>
      </c>
    </row>
    <row r="117" spans="1:6" x14ac:dyDescent="0.25">
      <c r="A117" s="62" t="s">
        <v>629</v>
      </c>
      <c r="B117" s="62" t="s">
        <v>431</v>
      </c>
      <c r="C117" s="62" t="s">
        <v>77</v>
      </c>
      <c r="D117" s="62">
        <v>372</v>
      </c>
      <c r="E117" s="62">
        <v>20463</v>
      </c>
      <c r="F117" s="21" t="s">
        <v>353</v>
      </c>
    </row>
    <row r="118" spans="1:6" x14ac:dyDescent="0.25">
      <c r="A118" s="62" t="s">
        <v>629</v>
      </c>
      <c r="B118" s="62" t="s">
        <v>430</v>
      </c>
      <c r="C118" s="62" t="s">
        <v>110</v>
      </c>
      <c r="D118" s="62">
        <v>8491</v>
      </c>
      <c r="E118" s="62">
        <v>115682</v>
      </c>
      <c r="F118" s="21" t="s">
        <v>823</v>
      </c>
    </row>
    <row r="119" spans="1:6" x14ac:dyDescent="0.25">
      <c r="A119" s="62" t="s">
        <v>633</v>
      </c>
      <c r="B119" s="62" t="s">
        <v>429</v>
      </c>
      <c r="C119" s="62" t="s">
        <v>153</v>
      </c>
      <c r="D119" s="62">
        <v>3</v>
      </c>
      <c r="E119" s="62">
        <v>95</v>
      </c>
      <c r="F119" s="21" t="s">
        <v>366</v>
      </c>
    </row>
    <row r="120" spans="1:6" x14ac:dyDescent="0.25">
      <c r="A120" s="62" t="s">
        <v>630</v>
      </c>
      <c r="B120" s="62" t="s">
        <v>426</v>
      </c>
      <c r="C120" s="62" t="s">
        <v>152</v>
      </c>
      <c r="D120" s="62">
        <v>3</v>
      </c>
      <c r="E120" s="62">
        <v>1262</v>
      </c>
      <c r="F120" s="21" t="s">
        <v>366</v>
      </c>
    </row>
    <row r="121" spans="1:6" x14ac:dyDescent="0.25">
      <c r="A121" s="62" t="s">
        <v>630</v>
      </c>
      <c r="B121" s="62" t="s">
        <v>425</v>
      </c>
      <c r="C121" s="62" t="s">
        <v>151</v>
      </c>
      <c r="D121" s="62">
        <v>4321</v>
      </c>
      <c r="E121" s="62">
        <v>21785</v>
      </c>
      <c r="F121" s="21" t="s">
        <v>823</v>
      </c>
    </row>
    <row r="122" spans="1:6" x14ac:dyDescent="0.25">
      <c r="A122" s="62" t="s">
        <v>632</v>
      </c>
      <c r="B122" s="62" t="s">
        <v>424</v>
      </c>
      <c r="C122" s="62" t="s">
        <v>149</v>
      </c>
      <c r="D122" s="62">
        <v>0</v>
      </c>
      <c r="E122" s="62">
        <v>1891</v>
      </c>
      <c r="F122" s="21" t="s">
        <v>361</v>
      </c>
    </row>
    <row r="123" spans="1:6" x14ac:dyDescent="0.25">
      <c r="A123" s="62" t="s">
        <v>631</v>
      </c>
      <c r="B123" s="62" t="s">
        <v>423</v>
      </c>
      <c r="C123" s="62" t="s">
        <v>109</v>
      </c>
      <c r="D123" s="62">
        <v>0</v>
      </c>
      <c r="E123" s="62">
        <v>4575</v>
      </c>
      <c r="F123" s="21" t="s">
        <v>356</v>
      </c>
    </row>
    <row r="124" spans="1:6" x14ac:dyDescent="0.25">
      <c r="A124" s="62" t="s">
        <v>632</v>
      </c>
      <c r="B124" s="62" t="s">
        <v>422</v>
      </c>
      <c r="C124" s="62" t="s">
        <v>27</v>
      </c>
      <c r="D124" s="62">
        <v>0</v>
      </c>
      <c r="E124" s="62">
        <v>1396</v>
      </c>
      <c r="F124" s="21" t="s">
        <v>356</v>
      </c>
    </row>
    <row r="125" spans="1:6" x14ac:dyDescent="0.25">
      <c r="A125" s="62" t="s">
        <v>632</v>
      </c>
      <c r="B125" s="62" t="s">
        <v>421</v>
      </c>
      <c r="C125" s="62" t="s">
        <v>148</v>
      </c>
      <c r="D125" s="62">
        <v>0</v>
      </c>
      <c r="E125" s="62">
        <v>737</v>
      </c>
      <c r="F125" s="21" t="s">
        <v>361</v>
      </c>
    </row>
    <row r="126" spans="1:6" x14ac:dyDescent="0.25">
      <c r="A126" s="62" t="s">
        <v>631</v>
      </c>
      <c r="B126" s="62" t="s">
        <v>420</v>
      </c>
      <c r="C126" s="62" t="s">
        <v>26</v>
      </c>
      <c r="D126" s="62"/>
      <c r="E126" s="62">
        <v>42938</v>
      </c>
      <c r="F126" s="21" t="s">
        <v>356</v>
      </c>
    </row>
    <row r="127" spans="1:6" x14ac:dyDescent="0.25">
      <c r="A127" s="62" t="s">
        <v>633</v>
      </c>
      <c r="B127" s="62" t="s">
        <v>419</v>
      </c>
      <c r="C127" s="62" t="s">
        <v>147</v>
      </c>
      <c r="D127" s="62"/>
      <c r="E127" s="62">
        <v>56471</v>
      </c>
      <c r="F127" s="21" t="s">
        <v>366</v>
      </c>
    </row>
    <row r="128" spans="1:6" x14ac:dyDescent="0.25">
      <c r="A128" s="62" t="s">
        <v>633</v>
      </c>
      <c r="B128" s="62" t="s">
        <v>418</v>
      </c>
      <c r="C128" s="62" t="s">
        <v>146</v>
      </c>
      <c r="D128" s="62">
        <v>5</v>
      </c>
      <c r="E128" s="62">
        <v>407</v>
      </c>
      <c r="F128" s="21" t="s">
        <v>366</v>
      </c>
    </row>
    <row r="129" spans="1:6" x14ac:dyDescent="0.25">
      <c r="A129" s="62" t="s">
        <v>630</v>
      </c>
      <c r="B129" s="62" t="s">
        <v>415</v>
      </c>
      <c r="C129" s="62" t="s">
        <v>145</v>
      </c>
      <c r="D129" s="62">
        <v>295</v>
      </c>
      <c r="E129" s="62">
        <v>314</v>
      </c>
      <c r="F129" s="21" t="s">
        <v>366</v>
      </c>
    </row>
    <row r="130" spans="1:6" x14ac:dyDescent="0.25">
      <c r="A130" s="62" t="s">
        <v>631</v>
      </c>
      <c r="B130" s="62" t="s">
        <v>414</v>
      </c>
      <c r="C130" s="62" t="s">
        <v>144</v>
      </c>
      <c r="D130" s="62">
        <v>114</v>
      </c>
      <c r="E130" s="62">
        <v>3415</v>
      </c>
      <c r="F130" s="21" t="s">
        <v>366</v>
      </c>
    </row>
    <row r="131" spans="1:6" x14ac:dyDescent="0.25">
      <c r="A131" s="62" t="s">
        <v>633</v>
      </c>
      <c r="B131" s="62" t="s">
        <v>413</v>
      </c>
      <c r="C131" s="62" t="s">
        <v>143</v>
      </c>
      <c r="D131" s="62">
        <v>0</v>
      </c>
      <c r="E131" s="62">
        <v>3242</v>
      </c>
      <c r="F131" s="21" t="s">
        <v>356</v>
      </c>
    </row>
    <row r="132" spans="1:6" x14ac:dyDescent="0.25">
      <c r="A132" s="62" t="s">
        <v>633</v>
      </c>
      <c r="B132" s="62" t="s">
        <v>410</v>
      </c>
      <c r="C132" s="62" t="s">
        <v>142</v>
      </c>
      <c r="D132" s="62">
        <v>193</v>
      </c>
      <c r="E132" s="62">
        <v>4691</v>
      </c>
      <c r="F132" s="21" t="s">
        <v>361</v>
      </c>
    </row>
    <row r="133" spans="1:6" x14ac:dyDescent="0.25">
      <c r="A133" s="62" t="s">
        <v>633</v>
      </c>
      <c r="B133" s="62" t="s">
        <v>409</v>
      </c>
      <c r="C133" s="62" t="s">
        <v>141</v>
      </c>
      <c r="D133" s="62">
        <v>129</v>
      </c>
      <c r="E133" s="62">
        <v>18370</v>
      </c>
      <c r="F133" s="21" t="s">
        <v>361</v>
      </c>
    </row>
    <row r="134" spans="1:6" x14ac:dyDescent="0.25">
      <c r="A134" s="62" t="s">
        <v>629</v>
      </c>
      <c r="B134" s="62" t="s">
        <v>408</v>
      </c>
      <c r="C134" s="62" t="s">
        <v>76</v>
      </c>
      <c r="D134" s="62">
        <v>121</v>
      </c>
      <c r="E134" s="62">
        <v>8970</v>
      </c>
      <c r="F134" s="21" t="s">
        <v>353</v>
      </c>
    </row>
    <row r="135" spans="1:6" x14ac:dyDescent="0.25">
      <c r="A135" s="62" t="s">
        <v>632</v>
      </c>
      <c r="B135" s="62" t="s">
        <v>407</v>
      </c>
      <c r="C135" s="62" t="s">
        <v>139</v>
      </c>
      <c r="D135" s="62">
        <v>0</v>
      </c>
      <c r="E135" s="62">
        <v>30</v>
      </c>
      <c r="F135" s="21" t="s">
        <v>361</v>
      </c>
    </row>
    <row r="136" spans="1:6" x14ac:dyDescent="0.25">
      <c r="A136" s="62" t="s">
        <v>632</v>
      </c>
      <c r="B136" s="62" t="s">
        <v>406</v>
      </c>
      <c r="C136" s="62" t="s">
        <v>138</v>
      </c>
      <c r="D136" s="62">
        <v>0</v>
      </c>
      <c r="E136" s="62">
        <v>1</v>
      </c>
      <c r="F136" s="21" t="s">
        <v>361</v>
      </c>
    </row>
    <row r="137" spans="1:6" x14ac:dyDescent="0.25">
      <c r="A137" s="62" t="s">
        <v>631</v>
      </c>
      <c r="B137" s="62" t="s">
        <v>405</v>
      </c>
      <c r="C137" s="62" t="s">
        <v>25</v>
      </c>
      <c r="D137" s="62">
        <v>8</v>
      </c>
      <c r="E137" s="62">
        <v>0</v>
      </c>
      <c r="F137" s="21" t="s">
        <v>356</v>
      </c>
    </row>
    <row r="138" spans="1:6" x14ac:dyDescent="0.25">
      <c r="A138" s="62" t="s">
        <v>629</v>
      </c>
      <c r="B138" s="62" t="s">
        <v>404</v>
      </c>
      <c r="C138" s="62" t="s">
        <v>108</v>
      </c>
      <c r="D138" s="62">
        <v>0</v>
      </c>
      <c r="E138" s="62">
        <v>10</v>
      </c>
      <c r="F138" s="21" t="s">
        <v>356</v>
      </c>
    </row>
    <row r="139" spans="1:6" x14ac:dyDescent="0.25">
      <c r="A139" s="62" t="s">
        <v>630</v>
      </c>
      <c r="B139" s="62" t="s">
        <v>403</v>
      </c>
      <c r="C139" s="62" t="s">
        <v>136</v>
      </c>
      <c r="D139" s="62">
        <v>334</v>
      </c>
      <c r="E139" s="62">
        <v>5439</v>
      </c>
      <c r="F139" s="21" t="s">
        <v>366</v>
      </c>
    </row>
    <row r="140" spans="1:6" x14ac:dyDescent="0.25">
      <c r="A140" s="62" t="s">
        <v>629</v>
      </c>
      <c r="B140" s="62" t="s">
        <v>402</v>
      </c>
      <c r="C140" s="62" t="s">
        <v>23</v>
      </c>
      <c r="D140" s="62">
        <v>428</v>
      </c>
      <c r="E140" s="62">
        <v>5004</v>
      </c>
      <c r="F140" s="21" t="s">
        <v>356</v>
      </c>
    </row>
    <row r="141" spans="1:6" x14ac:dyDescent="0.25">
      <c r="A141" s="62" t="s">
        <v>633</v>
      </c>
      <c r="B141" s="62" t="s">
        <v>636</v>
      </c>
      <c r="C141" s="62" t="s">
        <v>135</v>
      </c>
      <c r="D141" s="62">
        <v>20</v>
      </c>
      <c r="E141" s="62">
        <v>4978</v>
      </c>
      <c r="F141" s="21" t="s">
        <v>361</v>
      </c>
    </row>
    <row r="142" spans="1:6" x14ac:dyDescent="0.25">
      <c r="A142" s="62" t="s">
        <v>629</v>
      </c>
      <c r="B142" s="62" t="s">
        <v>400</v>
      </c>
      <c r="C142" s="62" t="s">
        <v>75</v>
      </c>
      <c r="D142" s="62">
        <v>1089</v>
      </c>
      <c r="E142" s="62">
        <v>830</v>
      </c>
      <c r="F142" s="21" t="s">
        <v>353</v>
      </c>
    </row>
    <row r="143" spans="1:6" x14ac:dyDescent="0.25">
      <c r="A143" s="62" t="s">
        <v>631</v>
      </c>
      <c r="B143" s="62" t="s">
        <v>399</v>
      </c>
      <c r="C143" s="62" t="s">
        <v>133</v>
      </c>
      <c r="D143" s="62">
        <v>50</v>
      </c>
      <c r="E143" s="62">
        <v>143</v>
      </c>
      <c r="F143" s="21" t="s">
        <v>366</v>
      </c>
    </row>
    <row r="144" spans="1:6" x14ac:dyDescent="0.25">
      <c r="A144" s="62" t="s">
        <v>633</v>
      </c>
      <c r="B144" s="62" t="s">
        <v>398</v>
      </c>
      <c r="C144" s="62" t="s">
        <v>132</v>
      </c>
      <c r="D144" s="62">
        <v>0</v>
      </c>
      <c r="E144" s="62">
        <v>47</v>
      </c>
      <c r="F144" s="21" t="s">
        <v>366</v>
      </c>
    </row>
    <row r="145" spans="1:6" x14ac:dyDescent="0.25">
      <c r="A145" s="62" t="s">
        <v>633</v>
      </c>
      <c r="B145" s="62" t="s">
        <v>397</v>
      </c>
      <c r="C145" s="62" t="s">
        <v>131</v>
      </c>
      <c r="D145" s="62">
        <v>2</v>
      </c>
      <c r="F145" s="21" t="s">
        <v>366</v>
      </c>
    </row>
    <row r="146" spans="1:6" x14ac:dyDescent="0.25">
      <c r="A146" s="62" t="s">
        <v>631</v>
      </c>
      <c r="B146" s="62" t="s">
        <v>396</v>
      </c>
      <c r="C146" s="62" t="s">
        <v>74</v>
      </c>
      <c r="D146" s="62">
        <v>0</v>
      </c>
      <c r="E146" s="62">
        <v>343</v>
      </c>
      <c r="F146" s="21" t="s">
        <v>356</v>
      </c>
    </row>
    <row r="147" spans="1:6" x14ac:dyDescent="0.25">
      <c r="A147" s="62" t="s">
        <v>630</v>
      </c>
      <c r="B147" s="62" t="s">
        <v>395</v>
      </c>
      <c r="C147" s="62" t="s">
        <v>130</v>
      </c>
      <c r="D147" s="62">
        <v>115</v>
      </c>
      <c r="E147" s="62"/>
      <c r="F147" s="21" t="s">
        <v>353</v>
      </c>
    </row>
    <row r="148" spans="1:6" x14ac:dyDescent="0.25">
      <c r="A148" s="62" t="s">
        <v>629</v>
      </c>
      <c r="B148" s="62" t="s">
        <v>394</v>
      </c>
      <c r="C148" s="62" t="s">
        <v>129</v>
      </c>
      <c r="D148" s="62"/>
      <c r="E148" s="62">
        <v>10624</v>
      </c>
      <c r="F148" s="21" t="s">
        <v>361</v>
      </c>
    </row>
    <row r="149" spans="1:6" x14ac:dyDescent="0.25">
      <c r="A149" s="62" t="s">
        <v>633</v>
      </c>
      <c r="B149" s="62" t="s">
        <v>393</v>
      </c>
      <c r="C149" s="62" t="s">
        <v>128</v>
      </c>
      <c r="D149" s="62">
        <v>302</v>
      </c>
      <c r="E149" s="62">
        <v>21650</v>
      </c>
      <c r="F149" s="21" t="s">
        <v>366</v>
      </c>
    </row>
    <row r="150" spans="1:6" x14ac:dyDescent="0.25">
      <c r="A150" s="62" t="s">
        <v>635</v>
      </c>
      <c r="B150" s="62" t="s">
        <v>392</v>
      </c>
      <c r="C150" s="62" t="s">
        <v>22</v>
      </c>
      <c r="D150" s="62">
        <v>79</v>
      </c>
      <c r="E150" s="62">
        <v>4004</v>
      </c>
      <c r="F150" s="21" t="s">
        <v>356</v>
      </c>
    </row>
    <row r="151" spans="1:6" x14ac:dyDescent="0.25">
      <c r="A151" s="62" t="s">
        <v>630</v>
      </c>
      <c r="B151" s="62" t="s">
        <v>391</v>
      </c>
      <c r="C151" s="62" t="s">
        <v>21</v>
      </c>
      <c r="D151" s="62">
        <v>680</v>
      </c>
      <c r="E151" s="62">
        <v>14075</v>
      </c>
      <c r="F151" s="21" t="s">
        <v>356</v>
      </c>
    </row>
    <row r="152" spans="1:6" x14ac:dyDescent="0.25">
      <c r="A152" s="62" t="s">
        <v>632</v>
      </c>
      <c r="B152" s="62" t="s">
        <v>390</v>
      </c>
      <c r="C152" s="62" t="s">
        <v>127</v>
      </c>
      <c r="D152" s="62">
        <v>0</v>
      </c>
      <c r="E152" s="62">
        <v>35</v>
      </c>
      <c r="F152" s="21" t="s">
        <v>361</v>
      </c>
    </row>
    <row r="153" spans="1:6" x14ac:dyDescent="0.25">
      <c r="A153" s="62" t="s">
        <v>629</v>
      </c>
      <c r="B153" s="62" t="s">
        <v>389</v>
      </c>
      <c r="C153" s="62" t="s">
        <v>20</v>
      </c>
      <c r="D153" s="62">
        <v>313</v>
      </c>
      <c r="E153" s="62">
        <v>1465</v>
      </c>
      <c r="F153" s="21" t="s">
        <v>356</v>
      </c>
    </row>
    <row r="154" spans="1:6" x14ac:dyDescent="0.25">
      <c r="A154" s="62" t="s">
        <v>633</v>
      </c>
      <c r="B154" s="62" t="s">
        <v>388</v>
      </c>
      <c r="C154" s="62" t="s">
        <v>126</v>
      </c>
      <c r="D154" s="62">
        <v>6</v>
      </c>
      <c r="E154" s="62">
        <v>29</v>
      </c>
      <c r="F154" s="21" t="s">
        <v>366</v>
      </c>
    </row>
    <row r="155" spans="1:6" x14ac:dyDescent="0.25">
      <c r="A155" s="62" t="s">
        <v>633</v>
      </c>
      <c r="B155" s="62" t="s">
        <v>387</v>
      </c>
      <c r="C155" s="62" t="s">
        <v>125</v>
      </c>
      <c r="D155" s="62">
        <v>77</v>
      </c>
      <c r="E155" s="62">
        <v>1990</v>
      </c>
      <c r="F155" s="21" t="s">
        <v>366</v>
      </c>
    </row>
    <row r="156" spans="1:6" x14ac:dyDescent="0.25">
      <c r="A156" s="62" t="s">
        <v>630</v>
      </c>
      <c r="B156" s="62" t="s">
        <v>386</v>
      </c>
      <c r="C156" s="62" t="s">
        <v>19</v>
      </c>
      <c r="D156" s="62">
        <v>26</v>
      </c>
      <c r="E156" s="62">
        <v>535</v>
      </c>
      <c r="F156" s="21" t="s">
        <v>356</v>
      </c>
    </row>
    <row r="157" spans="1:6" x14ac:dyDescent="0.25">
      <c r="A157" s="62" t="s">
        <v>633</v>
      </c>
      <c r="B157" s="62" t="s">
        <v>385</v>
      </c>
      <c r="C157" s="62" t="s">
        <v>72</v>
      </c>
      <c r="D157" s="62">
        <v>0</v>
      </c>
      <c r="E157" s="62">
        <v>6897</v>
      </c>
      <c r="F157" s="21" t="s">
        <v>353</v>
      </c>
    </row>
    <row r="158" spans="1:6" x14ac:dyDescent="0.25">
      <c r="A158" s="62" t="s">
        <v>635</v>
      </c>
      <c r="B158" s="62" t="s">
        <v>382</v>
      </c>
      <c r="C158" s="60" t="s">
        <v>384</v>
      </c>
      <c r="F158" s="21" t="s">
        <v>361</v>
      </c>
    </row>
    <row r="159" spans="1:6" x14ac:dyDescent="0.25">
      <c r="A159" s="62" t="s">
        <v>633</v>
      </c>
      <c r="B159" s="62" t="s">
        <v>383</v>
      </c>
      <c r="C159" s="62" t="s">
        <v>18</v>
      </c>
      <c r="D159" s="62">
        <v>2534</v>
      </c>
      <c r="E159" s="62">
        <v>29244</v>
      </c>
      <c r="F159" s="21" t="s">
        <v>361</v>
      </c>
    </row>
    <row r="160" spans="1:6" x14ac:dyDescent="0.25">
      <c r="A160" s="62" t="s">
        <v>629</v>
      </c>
      <c r="B160" s="62" t="s">
        <v>380</v>
      </c>
      <c r="C160" s="62" t="s">
        <v>70</v>
      </c>
      <c r="D160" s="62">
        <v>120</v>
      </c>
      <c r="E160" s="62">
        <v>4548</v>
      </c>
      <c r="F160" s="21" t="s">
        <v>353</v>
      </c>
    </row>
    <row r="161" spans="1:6" x14ac:dyDescent="0.25">
      <c r="A161" s="62" t="s">
        <v>631</v>
      </c>
      <c r="B161" s="62" t="s">
        <v>379</v>
      </c>
      <c r="C161" s="62" t="s">
        <v>16</v>
      </c>
      <c r="D161" s="62">
        <v>0</v>
      </c>
      <c r="E161" s="62">
        <v>65</v>
      </c>
      <c r="F161" s="21" t="s">
        <v>356</v>
      </c>
    </row>
    <row r="162" spans="1:6" x14ac:dyDescent="0.25">
      <c r="A162" s="62" t="s">
        <v>632</v>
      </c>
      <c r="B162" s="62" t="s">
        <v>378</v>
      </c>
      <c r="C162" s="62" t="s">
        <v>123</v>
      </c>
      <c r="D162" s="62">
        <v>0</v>
      </c>
      <c r="E162" s="62">
        <v>511</v>
      </c>
      <c r="F162" s="21" t="s">
        <v>366</v>
      </c>
    </row>
    <row r="163" spans="1:6" x14ac:dyDescent="0.25">
      <c r="A163" s="62" t="s">
        <v>630</v>
      </c>
      <c r="B163" s="62" t="s">
        <v>377</v>
      </c>
      <c r="C163" s="62" t="s">
        <v>15</v>
      </c>
      <c r="D163" s="62">
        <v>1</v>
      </c>
      <c r="E163" s="62">
        <v>547</v>
      </c>
      <c r="F163" s="21" t="s">
        <v>361</v>
      </c>
    </row>
    <row r="164" spans="1:6" x14ac:dyDescent="0.25">
      <c r="A164" s="62" t="s">
        <v>633</v>
      </c>
      <c r="B164" s="62" t="s">
        <v>376</v>
      </c>
      <c r="C164" s="62" t="s">
        <v>122</v>
      </c>
      <c r="D164" s="62"/>
      <c r="E164" s="62">
        <v>11372</v>
      </c>
      <c r="F164" s="21" t="s">
        <v>361</v>
      </c>
    </row>
    <row r="165" spans="1:6" x14ac:dyDescent="0.25">
      <c r="A165" s="62" t="s">
        <v>633</v>
      </c>
      <c r="B165" s="62" t="s">
        <v>375</v>
      </c>
      <c r="C165" s="62" t="s">
        <v>121</v>
      </c>
      <c r="D165" s="62">
        <v>0</v>
      </c>
      <c r="E165" s="62">
        <v>2806</v>
      </c>
      <c r="F165" s="21" t="s">
        <v>356</v>
      </c>
    </row>
    <row r="166" spans="1:6" x14ac:dyDescent="0.25">
      <c r="A166" s="62" t="s">
        <v>629</v>
      </c>
      <c r="B166" s="62" t="s">
        <v>374</v>
      </c>
      <c r="C166" s="62" t="s">
        <v>69</v>
      </c>
      <c r="D166" s="62">
        <v>1313</v>
      </c>
      <c r="E166" s="62">
        <v>2637</v>
      </c>
      <c r="F166" s="21" t="s">
        <v>353</v>
      </c>
    </row>
    <row r="167" spans="1:6" x14ac:dyDescent="0.25">
      <c r="A167" s="62" t="s">
        <v>633</v>
      </c>
      <c r="B167" s="62" t="s">
        <v>373</v>
      </c>
      <c r="C167" s="62" t="s">
        <v>11</v>
      </c>
      <c r="D167" s="62"/>
      <c r="E167" s="62">
        <v>6841</v>
      </c>
      <c r="F167" s="21" t="s">
        <v>356</v>
      </c>
    </row>
    <row r="168" spans="1:6" x14ac:dyDescent="0.25">
      <c r="A168" s="62" t="s">
        <v>630</v>
      </c>
      <c r="B168" s="62" t="s">
        <v>372</v>
      </c>
      <c r="C168" s="62" t="s">
        <v>120</v>
      </c>
      <c r="D168" s="62">
        <v>87</v>
      </c>
      <c r="E168" s="62">
        <v>1187</v>
      </c>
      <c r="F168" s="21" t="s">
        <v>366</v>
      </c>
    </row>
    <row r="169" spans="1:6" x14ac:dyDescent="0.25">
      <c r="A169" s="62" t="s">
        <v>633</v>
      </c>
      <c r="B169" s="62" t="s">
        <v>371</v>
      </c>
      <c r="C169" s="62" t="s">
        <v>634</v>
      </c>
      <c r="D169" s="62">
        <v>443</v>
      </c>
      <c r="E169" s="62">
        <v>28228</v>
      </c>
      <c r="F169" s="21" t="s">
        <v>366</v>
      </c>
    </row>
    <row r="170" spans="1:6" x14ac:dyDescent="0.25">
      <c r="A170" s="62" t="s">
        <v>629</v>
      </c>
      <c r="B170" s="62" t="s">
        <v>370</v>
      </c>
      <c r="C170" s="62" t="s">
        <v>118</v>
      </c>
      <c r="D170" s="62">
        <v>167</v>
      </c>
      <c r="E170" s="62">
        <v>14920</v>
      </c>
      <c r="F170" s="21" t="s">
        <v>353</v>
      </c>
    </row>
    <row r="171" spans="1:6" x14ac:dyDescent="0.25">
      <c r="A171" s="62" t="s">
        <v>632</v>
      </c>
      <c r="B171" s="62" t="s">
        <v>369</v>
      </c>
      <c r="C171" s="62" t="s">
        <v>117</v>
      </c>
      <c r="D171" s="62"/>
      <c r="E171" s="62">
        <v>27786</v>
      </c>
      <c r="F171" s="21" t="s">
        <v>366</v>
      </c>
    </row>
    <row r="172" spans="1:6" x14ac:dyDescent="0.25">
      <c r="A172" s="62" t="s">
        <v>632</v>
      </c>
      <c r="B172" s="62" t="s">
        <v>365</v>
      </c>
      <c r="C172" s="62" t="s">
        <v>116</v>
      </c>
      <c r="D172" s="62">
        <v>0</v>
      </c>
      <c r="E172" s="62">
        <v>110</v>
      </c>
      <c r="F172" s="21" t="s">
        <v>361</v>
      </c>
    </row>
    <row r="173" spans="1:6" x14ac:dyDescent="0.25">
      <c r="A173" s="62" t="s">
        <v>633</v>
      </c>
      <c r="B173" s="62" t="s">
        <v>364</v>
      </c>
      <c r="C173" s="62" t="s">
        <v>9</v>
      </c>
      <c r="D173" s="62">
        <v>117</v>
      </c>
      <c r="E173" s="62">
        <v>3943</v>
      </c>
      <c r="F173" s="21" t="s">
        <v>356</v>
      </c>
    </row>
    <row r="174" spans="1:6" x14ac:dyDescent="0.25">
      <c r="A174" s="62" t="s">
        <v>631</v>
      </c>
      <c r="B174" s="62" t="s">
        <v>363</v>
      </c>
      <c r="C174" s="62" t="s">
        <v>8</v>
      </c>
      <c r="D174" s="62">
        <v>0</v>
      </c>
      <c r="E174" s="62">
        <v>67</v>
      </c>
      <c r="F174" s="21" t="s">
        <v>356</v>
      </c>
    </row>
    <row r="175" spans="1:6" x14ac:dyDescent="0.25">
      <c r="A175" s="62" t="s">
        <v>632</v>
      </c>
      <c r="B175" s="62" t="s">
        <v>362</v>
      </c>
      <c r="C175" s="62" t="s">
        <v>115</v>
      </c>
      <c r="D175" s="62">
        <v>0</v>
      </c>
      <c r="E175" s="62">
        <v>9881</v>
      </c>
      <c r="F175" s="21" t="s">
        <v>361</v>
      </c>
    </row>
    <row r="176" spans="1:6" x14ac:dyDescent="0.25">
      <c r="A176" s="62" t="s">
        <v>631</v>
      </c>
      <c r="B176" s="62" t="s">
        <v>360</v>
      </c>
      <c r="C176" s="62" t="s">
        <v>114</v>
      </c>
      <c r="D176" s="62">
        <v>2809</v>
      </c>
      <c r="E176" s="62">
        <v>8175</v>
      </c>
      <c r="F176" s="21" t="s">
        <v>356</v>
      </c>
    </row>
    <row r="177" spans="1:6" x14ac:dyDescent="0.25">
      <c r="A177" s="62" t="s">
        <v>630</v>
      </c>
      <c r="B177" s="62" t="s">
        <v>357</v>
      </c>
      <c r="C177" s="62" t="s">
        <v>107</v>
      </c>
      <c r="D177" s="62">
        <v>510</v>
      </c>
      <c r="E177" s="62"/>
      <c r="F177" s="21" t="s">
        <v>356</v>
      </c>
    </row>
    <row r="178" spans="1:6" x14ac:dyDescent="0.25">
      <c r="A178" s="62" t="s">
        <v>629</v>
      </c>
      <c r="B178" s="62" t="s">
        <v>355</v>
      </c>
      <c r="C178" s="62" t="s">
        <v>68</v>
      </c>
      <c r="D178" s="62">
        <v>15754</v>
      </c>
      <c r="E178" s="62">
        <v>6748</v>
      </c>
      <c r="F178" s="21" t="s">
        <v>356</v>
      </c>
    </row>
    <row r="179" spans="1:6" x14ac:dyDescent="0.25">
      <c r="A179" s="62" t="s">
        <v>629</v>
      </c>
      <c r="B179" s="62" t="s">
        <v>354</v>
      </c>
      <c r="C179" s="62" t="s">
        <v>67</v>
      </c>
      <c r="D179" s="62">
        <v>9696</v>
      </c>
      <c r="E179" s="62">
        <v>13728</v>
      </c>
      <c r="F179" s="28" t="s">
        <v>353</v>
      </c>
    </row>
  </sheetData>
  <autoFilter ref="A1:F179"/>
  <pageMargins left="0.75" right="0.75" top="1" bottom="1" header="0.5" footer="0.5"/>
  <pageSetup orientation="portrait" r:id="rId1"/>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6"/>
  <sheetViews>
    <sheetView workbookViewId="0">
      <selection activeCell="E5" sqref="E5"/>
    </sheetView>
  </sheetViews>
  <sheetFormatPr defaultRowHeight="15" x14ac:dyDescent="0.25"/>
  <cols>
    <col min="1" max="1" width="14.85546875" bestFit="1" customWidth="1"/>
    <col min="2" max="4" width="12.7109375" bestFit="1" customWidth="1"/>
  </cols>
  <sheetData>
    <row r="1" spans="1:5" x14ac:dyDescent="0.25">
      <c r="A1" t="s">
        <v>619</v>
      </c>
      <c r="B1" t="s">
        <v>860</v>
      </c>
    </row>
    <row r="2" spans="1:5" x14ac:dyDescent="0.25">
      <c r="A2" t="s">
        <v>618</v>
      </c>
    </row>
    <row r="3" spans="1:5" x14ac:dyDescent="0.25">
      <c r="A3" s="7"/>
      <c r="B3" s="7"/>
      <c r="C3" s="7"/>
    </row>
    <row r="4" spans="1:5" x14ac:dyDescent="0.25">
      <c r="A4" s="7" t="s">
        <v>617</v>
      </c>
      <c r="B4" s="7" t="s">
        <v>616</v>
      </c>
      <c r="C4" s="7" t="s">
        <v>615</v>
      </c>
      <c r="D4" s="7" t="s">
        <v>2</v>
      </c>
      <c r="E4" s="7" t="s">
        <v>861</v>
      </c>
    </row>
    <row r="5" spans="1:5" x14ac:dyDescent="0.25">
      <c r="A5" s="7">
        <v>5766.9380000000001</v>
      </c>
      <c r="B5" s="7">
        <v>4861.3440000000001</v>
      </c>
      <c r="C5" s="7">
        <v>1801.367</v>
      </c>
      <c r="D5" s="7">
        <f>SUM(A5:C5)</f>
        <v>12429.648999999999</v>
      </c>
    </row>
    <row r="6" spans="1:5" x14ac:dyDescent="0.25">
      <c r="A6">
        <f>A5/$D$5</f>
        <v>0.46396627933741336</v>
      </c>
      <c r="B6" s="130">
        <f t="shared" ref="B6:C6" si="0">B5/$D$5</f>
        <v>0.39110871111485129</v>
      </c>
      <c r="C6" s="130">
        <f t="shared" si="0"/>
        <v>0.14492500954773543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3:F19"/>
  <sheetViews>
    <sheetView topLeftCell="A10" workbookViewId="0">
      <selection activeCell="F20" sqref="F20"/>
    </sheetView>
  </sheetViews>
  <sheetFormatPr defaultRowHeight="15" x14ac:dyDescent="0.25"/>
  <cols>
    <col min="1" max="1" width="15.85546875" bestFit="1" customWidth="1"/>
    <col min="2" max="6" width="31.5703125" bestFit="1" customWidth="1"/>
  </cols>
  <sheetData>
    <row r="3" spans="1:6" x14ac:dyDescent="0.25">
      <c r="B3" t="s">
        <v>828</v>
      </c>
      <c r="C3" t="s">
        <v>829</v>
      </c>
      <c r="D3" t="s">
        <v>830</v>
      </c>
      <c r="E3" t="s">
        <v>831</v>
      </c>
      <c r="F3" t="s">
        <v>832</v>
      </c>
    </row>
    <row r="4" spans="1:6" x14ac:dyDescent="0.25">
      <c r="A4" t="s">
        <v>628</v>
      </c>
      <c r="B4" s="51">
        <v>0.42099999999999999</v>
      </c>
      <c r="C4" s="51">
        <v>0.20699999999999999</v>
      </c>
      <c r="D4" s="51">
        <v>0.158</v>
      </c>
      <c r="E4" s="51">
        <v>0.124</v>
      </c>
      <c r="F4" s="51">
        <f t="shared" ref="F4:F8" si="0">100%-SUM(B4:E4)</f>
        <v>8.9999999999999969E-2</v>
      </c>
    </row>
    <row r="5" spans="1:6" x14ac:dyDescent="0.25">
      <c r="A5" t="s">
        <v>627</v>
      </c>
      <c r="B5" s="51">
        <v>0.45300000000000001</v>
      </c>
      <c r="C5" s="51">
        <v>0.20399999999999999</v>
      </c>
      <c r="D5" s="51">
        <v>0.14899999999999999</v>
      </c>
      <c r="E5" s="51">
        <v>0.113</v>
      </c>
      <c r="F5" s="51">
        <f t="shared" si="0"/>
        <v>8.0999999999999961E-2</v>
      </c>
    </row>
    <row r="6" spans="1:6" x14ac:dyDescent="0.25">
      <c r="A6" t="s">
        <v>626</v>
      </c>
      <c r="B6" s="51">
        <v>0.47799999999999998</v>
      </c>
      <c r="C6" s="59">
        <v>0.22</v>
      </c>
      <c r="D6" s="51">
        <v>0.14699999999999999</v>
      </c>
      <c r="E6" s="51">
        <v>9.8000000000000004E-2</v>
      </c>
      <c r="F6" s="51">
        <f t="shared" si="0"/>
        <v>5.7000000000000051E-2</v>
      </c>
    </row>
    <row r="7" spans="1:6" x14ac:dyDescent="0.25">
      <c r="A7" t="s">
        <v>625</v>
      </c>
      <c r="B7" s="51">
        <v>0.48599999999999999</v>
      </c>
      <c r="C7" s="51">
        <v>0.219</v>
      </c>
      <c r="D7" s="51">
        <v>0.14699999999999999</v>
      </c>
      <c r="E7" s="51">
        <v>9.7000000000000003E-2</v>
      </c>
      <c r="F7" s="51">
        <f t="shared" si="0"/>
        <v>5.1000000000000045E-2</v>
      </c>
    </row>
    <row r="8" spans="1:6" x14ac:dyDescent="0.25">
      <c r="A8" t="s">
        <v>624</v>
      </c>
      <c r="B8" s="51">
        <v>0.44900000000000001</v>
      </c>
      <c r="C8" s="51">
        <v>0.21099999999999999</v>
      </c>
      <c r="D8" s="51">
        <v>0.151</v>
      </c>
      <c r="E8" s="51">
        <v>0.113</v>
      </c>
      <c r="F8" s="51">
        <f t="shared" si="0"/>
        <v>7.5999999999999956E-2</v>
      </c>
    </row>
    <row r="9" spans="1:6" x14ac:dyDescent="0.25">
      <c r="B9" s="51"/>
      <c r="C9" s="51"/>
      <c r="D9" s="51"/>
      <c r="E9" s="51"/>
      <c r="F9" s="51"/>
    </row>
    <row r="11" spans="1:6" x14ac:dyDescent="0.25">
      <c r="A11" t="s">
        <v>623</v>
      </c>
    </row>
    <row r="13" spans="1:6" x14ac:dyDescent="0.25">
      <c r="B13" t="s">
        <v>622</v>
      </c>
      <c r="C13" t="s">
        <v>621</v>
      </c>
    </row>
    <row r="14" spans="1:6" x14ac:dyDescent="0.25">
      <c r="A14" t="s">
        <v>151</v>
      </c>
      <c r="B14">
        <v>30.6</v>
      </c>
      <c r="C14">
        <v>2008</v>
      </c>
    </row>
    <row r="15" spans="1:6" x14ac:dyDescent="0.25">
      <c r="A15" t="s">
        <v>44</v>
      </c>
      <c r="B15">
        <v>36.799999999999997</v>
      </c>
      <c r="C15">
        <v>2004</v>
      </c>
    </row>
    <row r="16" spans="1:6" x14ac:dyDescent="0.25">
      <c r="A16" t="s">
        <v>55</v>
      </c>
      <c r="B16">
        <v>46.9</v>
      </c>
      <c r="C16">
        <v>2008</v>
      </c>
    </row>
    <row r="17" spans="1:3" x14ac:dyDescent="0.25">
      <c r="A17" t="s">
        <v>110</v>
      </c>
      <c r="B17">
        <v>43.7</v>
      </c>
      <c r="C17">
        <v>2003</v>
      </c>
    </row>
    <row r="18" spans="1:3" x14ac:dyDescent="0.25">
      <c r="A18" t="s">
        <v>43</v>
      </c>
      <c r="B18">
        <v>39.4</v>
      </c>
      <c r="C18">
        <v>2005</v>
      </c>
    </row>
    <row r="19" spans="1:3" x14ac:dyDescent="0.25">
      <c r="A19" t="s">
        <v>620</v>
      </c>
      <c r="B19">
        <v>55</v>
      </c>
      <c r="C19">
        <v>2008</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filterMode="1"/>
  <dimension ref="A1:L61"/>
  <sheetViews>
    <sheetView workbookViewId="0">
      <selection activeCell="A7" sqref="A7:A58"/>
    </sheetView>
  </sheetViews>
  <sheetFormatPr defaultColWidth="8.85546875" defaultRowHeight="15" x14ac:dyDescent="0.25"/>
  <cols>
    <col min="1" max="1" width="21.42578125" bestFit="1" customWidth="1"/>
    <col min="2" max="2" width="10.42578125" customWidth="1"/>
    <col min="5" max="5" width="10.7109375" style="1" bestFit="1" customWidth="1"/>
    <col min="8" max="8" width="20.42578125" bestFit="1" customWidth="1"/>
  </cols>
  <sheetData>
    <row r="1" spans="1:12" x14ac:dyDescent="0.25">
      <c r="A1" s="1" t="s">
        <v>66</v>
      </c>
      <c r="B1" s="3">
        <v>2010</v>
      </c>
      <c r="C1" s="3">
        <v>2015</v>
      </c>
      <c r="D1" s="3">
        <v>2020</v>
      </c>
      <c r="E1" s="1" t="s">
        <v>65</v>
      </c>
      <c r="I1" t="s">
        <v>64</v>
      </c>
      <c r="J1" t="s">
        <v>63</v>
      </c>
    </row>
    <row r="2" spans="1:12" hidden="1" x14ac:dyDescent="0.25">
      <c r="A2" t="s">
        <v>62</v>
      </c>
      <c r="B2">
        <v>3378</v>
      </c>
      <c r="C2">
        <v>3608</v>
      </c>
      <c r="D2">
        <v>3839</v>
      </c>
      <c r="E2" s="1" t="s">
        <v>10</v>
      </c>
    </row>
    <row r="3" spans="1:12" hidden="1" x14ac:dyDescent="0.25">
      <c r="A3" t="s">
        <v>61</v>
      </c>
      <c r="B3">
        <v>226</v>
      </c>
      <c r="C3">
        <v>226</v>
      </c>
      <c r="D3">
        <v>203</v>
      </c>
      <c r="E3" s="1" t="s">
        <v>10</v>
      </c>
    </row>
    <row r="4" spans="1:12" hidden="1" x14ac:dyDescent="0.25">
      <c r="A4" t="s">
        <v>60</v>
      </c>
      <c r="B4">
        <v>37</v>
      </c>
      <c r="C4">
        <v>38</v>
      </c>
      <c r="D4">
        <v>40</v>
      </c>
      <c r="E4" s="1" t="s">
        <v>5</v>
      </c>
      <c r="H4" s="1"/>
      <c r="I4" s="1"/>
      <c r="J4" s="1"/>
      <c r="K4" s="1"/>
      <c r="L4" s="1"/>
    </row>
    <row r="5" spans="1:12" hidden="1" x14ac:dyDescent="0.25">
      <c r="A5" t="s">
        <v>59</v>
      </c>
      <c r="B5">
        <v>71</v>
      </c>
      <c r="C5">
        <v>71</v>
      </c>
      <c r="D5">
        <v>68</v>
      </c>
      <c r="E5" s="1" t="s">
        <v>10</v>
      </c>
    </row>
    <row r="6" spans="1:12" hidden="1" x14ac:dyDescent="0.25">
      <c r="A6" t="s">
        <v>58</v>
      </c>
      <c r="B6">
        <v>1235</v>
      </c>
      <c r="C6">
        <v>1267</v>
      </c>
      <c r="D6">
        <v>1301</v>
      </c>
      <c r="E6" s="1" t="s">
        <v>10</v>
      </c>
    </row>
    <row r="7" spans="1:12" x14ac:dyDescent="0.25">
      <c r="A7" t="s">
        <v>57</v>
      </c>
      <c r="B7">
        <v>3055</v>
      </c>
      <c r="C7">
        <v>3237</v>
      </c>
      <c r="D7">
        <v>3360</v>
      </c>
      <c r="E7" s="1" t="s">
        <v>3</v>
      </c>
    </row>
    <row r="8" spans="1:12" hidden="1" x14ac:dyDescent="0.25">
      <c r="A8" t="s">
        <v>56</v>
      </c>
      <c r="B8">
        <v>51</v>
      </c>
      <c r="C8">
        <v>48</v>
      </c>
      <c r="D8">
        <v>46</v>
      </c>
      <c r="E8" s="1" t="s">
        <v>5</v>
      </c>
    </row>
    <row r="9" spans="1:12" hidden="1" x14ac:dyDescent="0.25">
      <c r="A9" s="2" t="s">
        <v>55</v>
      </c>
      <c r="B9" s="2">
        <v>81596</v>
      </c>
      <c r="C9" s="2">
        <v>79100</v>
      </c>
      <c r="D9" s="2">
        <v>72895</v>
      </c>
      <c r="E9" s="2" t="s">
        <v>13</v>
      </c>
    </row>
    <row r="10" spans="1:12" hidden="1" x14ac:dyDescent="0.25">
      <c r="A10" t="s">
        <v>54</v>
      </c>
      <c r="B10">
        <v>623</v>
      </c>
      <c r="C10">
        <v>678</v>
      </c>
      <c r="D10">
        <v>715</v>
      </c>
      <c r="E10" s="1" t="s">
        <v>10</v>
      </c>
    </row>
    <row r="11" spans="1:12" x14ac:dyDescent="0.25">
      <c r="A11" t="s">
        <v>53</v>
      </c>
      <c r="B11">
        <v>2969</v>
      </c>
      <c r="C11">
        <v>3154</v>
      </c>
      <c r="D11">
        <v>3361</v>
      </c>
      <c r="E11" s="1" t="s">
        <v>3</v>
      </c>
    </row>
    <row r="12" spans="1:12" x14ac:dyDescent="0.25">
      <c r="A12" t="s">
        <v>52</v>
      </c>
      <c r="B12">
        <v>113</v>
      </c>
      <c r="C12">
        <v>121</v>
      </c>
      <c r="D12">
        <v>127</v>
      </c>
      <c r="E12" s="1" t="s">
        <v>3</v>
      </c>
    </row>
    <row r="13" spans="1:12" hidden="1" x14ac:dyDescent="0.25">
      <c r="A13" t="s">
        <v>51</v>
      </c>
      <c r="B13">
        <v>1470</v>
      </c>
      <c r="C13">
        <v>1449</v>
      </c>
      <c r="D13">
        <v>1418</v>
      </c>
      <c r="E13" s="1" t="s">
        <v>5</v>
      </c>
    </row>
    <row r="14" spans="1:12" hidden="1" x14ac:dyDescent="0.25">
      <c r="A14" t="s">
        <v>50</v>
      </c>
      <c r="B14">
        <v>9008</v>
      </c>
      <c r="C14">
        <v>9213</v>
      </c>
      <c r="D14">
        <v>9065</v>
      </c>
      <c r="E14" s="1" t="s">
        <v>5</v>
      </c>
    </row>
    <row r="15" spans="1:12" hidden="1" x14ac:dyDescent="0.25">
      <c r="A15" t="s">
        <v>49</v>
      </c>
      <c r="B15">
        <v>617</v>
      </c>
      <c r="C15">
        <v>613</v>
      </c>
      <c r="D15">
        <v>601</v>
      </c>
      <c r="E15" s="1" t="s">
        <v>5</v>
      </c>
    </row>
    <row r="16" spans="1:12" hidden="1" x14ac:dyDescent="0.25">
      <c r="A16" t="s">
        <v>48</v>
      </c>
      <c r="B16">
        <v>256</v>
      </c>
      <c r="C16">
        <v>236</v>
      </c>
      <c r="D16">
        <v>207</v>
      </c>
      <c r="E16" s="1" t="s">
        <v>5</v>
      </c>
    </row>
    <row r="17" spans="1:5" x14ac:dyDescent="0.25">
      <c r="A17" s="110" t="s">
        <v>93</v>
      </c>
      <c r="B17" s="110">
        <v>3533</v>
      </c>
      <c r="C17" s="110">
        <v>3716</v>
      </c>
      <c r="D17" s="110">
        <v>3868</v>
      </c>
      <c r="E17" s="1" t="s">
        <v>3</v>
      </c>
    </row>
    <row r="18" spans="1:5" hidden="1" x14ac:dyDescent="0.25">
      <c r="A18" t="s">
        <v>47</v>
      </c>
      <c r="B18">
        <v>2167</v>
      </c>
      <c r="C18">
        <v>2344</v>
      </c>
      <c r="D18">
        <v>2502</v>
      </c>
      <c r="E18" s="1" t="s">
        <v>5</v>
      </c>
    </row>
    <row r="19" spans="1:5" x14ac:dyDescent="0.25">
      <c r="A19" t="s">
        <v>46</v>
      </c>
      <c r="B19">
        <v>65</v>
      </c>
      <c r="C19">
        <v>61</v>
      </c>
      <c r="D19">
        <v>61</v>
      </c>
      <c r="E19" s="1" t="s">
        <v>3</v>
      </c>
    </row>
    <row r="20" spans="1:5" hidden="1" x14ac:dyDescent="0.25">
      <c r="A20" t="s">
        <v>45</v>
      </c>
      <c r="B20">
        <v>966</v>
      </c>
      <c r="C20">
        <v>1000</v>
      </c>
      <c r="D20">
        <v>1014</v>
      </c>
      <c r="E20" s="1" t="s">
        <v>10</v>
      </c>
    </row>
    <row r="21" spans="1:5" x14ac:dyDescent="0.25">
      <c r="A21" s="2" t="s">
        <v>44</v>
      </c>
      <c r="B21" s="2">
        <v>127979</v>
      </c>
      <c r="C21" s="2">
        <v>127332</v>
      </c>
      <c r="D21" s="2">
        <v>125290</v>
      </c>
      <c r="E21" s="2" t="s">
        <v>3</v>
      </c>
    </row>
    <row r="22" spans="1:5" hidden="1" x14ac:dyDescent="0.25">
      <c r="A22" t="s">
        <v>43</v>
      </c>
      <c r="B22">
        <v>21579</v>
      </c>
      <c r="C22">
        <v>20736</v>
      </c>
      <c r="D22">
        <v>19717</v>
      </c>
      <c r="E22" s="1" t="s">
        <v>10</v>
      </c>
    </row>
    <row r="23" spans="1:5" hidden="1" x14ac:dyDescent="0.25">
      <c r="A23" t="s">
        <v>42</v>
      </c>
      <c r="B23">
        <v>5188</v>
      </c>
      <c r="C23">
        <v>5651</v>
      </c>
      <c r="D23">
        <v>6194</v>
      </c>
      <c r="E23" s="1" t="s">
        <v>5</v>
      </c>
    </row>
    <row r="24" spans="1:5" hidden="1" x14ac:dyDescent="0.25">
      <c r="A24" t="s">
        <v>41</v>
      </c>
      <c r="B24">
        <v>816</v>
      </c>
      <c r="C24">
        <v>744</v>
      </c>
      <c r="D24">
        <v>750</v>
      </c>
      <c r="E24" s="1" t="s">
        <v>5</v>
      </c>
    </row>
    <row r="25" spans="1:5" hidden="1" x14ac:dyDescent="0.25">
      <c r="A25" t="s">
        <v>40</v>
      </c>
      <c r="B25">
        <v>0</v>
      </c>
      <c r="C25">
        <v>0</v>
      </c>
      <c r="D25">
        <v>0</v>
      </c>
      <c r="E25" s="1" t="s">
        <v>10</v>
      </c>
    </row>
    <row r="26" spans="1:5" hidden="1" x14ac:dyDescent="0.25">
      <c r="A26" t="s">
        <v>39</v>
      </c>
      <c r="B26">
        <v>0</v>
      </c>
      <c r="C26">
        <v>0</v>
      </c>
      <c r="D26">
        <v>0</v>
      </c>
      <c r="E26" s="1" t="s">
        <v>5</v>
      </c>
    </row>
    <row r="27" spans="1:5" x14ac:dyDescent="0.25">
      <c r="A27" t="s">
        <v>38</v>
      </c>
      <c r="B27">
        <v>274</v>
      </c>
      <c r="C27">
        <v>281</v>
      </c>
      <c r="D27">
        <v>281</v>
      </c>
      <c r="E27" s="1" t="s">
        <v>3</v>
      </c>
    </row>
    <row r="28" spans="1:5" hidden="1" x14ac:dyDescent="0.25">
      <c r="A28" t="s">
        <v>37</v>
      </c>
      <c r="B28">
        <v>26</v>
      </c>
      <c r="C28">
        <v>27</v>
      </c>
      <c r="D28">
        <v>25</v>
      </c>
      <c r="E28" s="1" t="s">
        <v>5</v>
      </c>
    </row>
    <row r="29" spans="1:5" hidden="1" x14ac:dyDescent="0.25">
      <c r="A29" t="s">
        <v>36</v>
      </c>
      <c r="B29">
        <v>0</v>
      </c>
      <c r="C29">
        <v>0</v>
      </c>
      <c r="D29">
        <v>0</v>
      </c>
      <c r="E29" s="1" t="s">
        <v>5</v>
      </c>
    </row>
    <row r="30" spans="1:5" hidden="1" x14ac:dyDescent="0.25">
      <c r="A30" t="s">
        <v>35</v>
      </c>
      <c r="B30">
        <v>13</v>
      </c>
      <c r="C30">
        <v>13</v>
      </c>
      <c r="D30">
        <v>13</v>
      </c>
      <c r="E30" s="1" t="s">
        <v>5</v>
      </c>
    </row>
    <row r="31" spans="1:5" hidden="1" x14ac:dyDescent="0.25">
      <c r="A31" t="s">
        <v>34</v>
      </c>
      <c r="B31">
        <v>215</v>
      </c>
      <c r="C31">
        <v>205</v>
      </c>
      <c r="D31">
        <v>184</v>
      </c>
      <c r="E31" s="1" t="s">
        <v>5</v>
      </c>
    </row>
    <row r="32" spans="1:5" hidden="1" x14ac:dyDescent="0.25">
      <c r="A32" t="s">
        <v>33</v>
      </c>
      <c r="B32">
        <v>297</v>
      </c>
      <c r="C32">
        <v>313</v>
      </c>
      <c r="D32">
        <v>311</v>
      </c>
      <c r="E32" s="1" t="s">
        <v>10</v>
      </c>
    </row>
    <row r="33" spans="1:5" hidden="1" x14ac:dyDescent="0.25">
      <c r="A33" t="s">
        <v>32</v>
      </c>
      <c r="B33">
        <v>3022</v>
      </c>
      <c r="C33">
        <v>2966</v>
      </c>
      <c r="D33">
        <v>2871</v>
      </c>
      <c r="E33" s="1" t="s">
        <v>5</v>
      </c>
    </row>
    <row r="34" spans="1:5" x14ac:dyDescent="0.25">
      <c r="A34" t="s">
        <v>31</v>
      </c>
      <c r="B34">
        <v>678</v>
      </c>
      <c r="C34">
        <v>668</v>
      </c>
      <c r="D34">
        <v>647</v>
      </c>
      <c r="E34" s="1" t="s">
        <v>3</v>
      </c>
    </row>
    <row r="35" spans="1:5" x14ac:dyDescent="0.25">
      <c r="A35" t="s">
        <v>30</v>
      </c>
      <c r="B35">
        <v>26569</v>
      </c>
      <c r="C35">
        <v>29669</v>
      </c>
      <c r="D35">
        <v>32762</v>
      </c>
      <c r="E35" s="1" t="s">
        <v>3</v>
      </c>
    </row>
    <row r="36" spans="1:5" x14ac:dyDescent="0.25">
      <c r="A36" t="s">
        <v>29</v>
      </c>
      <c r="B36">
        <v>21418</v>
      </c>
      <c r="C36">
        <v>22096</v>
      </c>
      <c r="D36">
        <v>22238</v>
      </c>
      <c r="E36" s="1" t="s">
        <v>3</v>
      </c>
    </row>
    <row r="37" spans="1:5" x14ac:dyDescent="0.25">
      <c r="A37" t="s">
        <v>28</v>
      </c>
      <c r="B37">
        <v>962</v>
      </c>
      <c r="C37">
        <v>999</v>
      </c>
      <c r="D37">
        <v>1046</v>
      </c>
      <c r="E37" s="1" t="s">
        <v>3</v>
      </c>
    </row>
    <row r="38" spans="1:5" hidden="1" x14ac:dyDescent="0.25">
      <c r="A38" t="s">
        <v>27</v>
      </c>
      <c r="B38">
        <v>740</v>
      </c>
      <c r="C38">
        <v>774</v>
      </c>
      <c r="D38">
        <v>791</v>
      </c>
      <c r="E38" s="1" t="s">
        <v>5</v>
      </c>
    </row>
    <row r="39" spans="1:5" hidden="1" x14ac:dyDescent="0.25">
      <c r="A39" t="s">
        <v>26</v>
      </c>
      <c r="B39">
        <v>11254</v>
      </c>
      <c r="C39">
        <v>11614</v>
      </c>
      <c r="D39">
        <v>11954</v>
      </c>
      <c r="E39" s="1" t="s">
        <v>5</v>
      </c>
    </row>
    <row r="40" spans="1:5" hidden="1" x14ac:dyDescent="0.25">
      <c r="A40" t="s">
        <v>25</v>
      </c>
      <c r="B40">
        <v>22</v>
      </c>
      <c r="C40">
        <v>21</v>
      </c>
      <c r="D40">
        <v>21</v>
      </c>
      <c r="E40" s="1" t="s">
        <v>5</v>
      </c>
    </row>
    <row r="41" spans="1:5" x14ac:dyDescent="0.25">
      <c r="A41" t="s">
        <v>24</v>
      </c>
      <c r="B41">
        <v>23</v>
      </c>
      <c r="C41">
        <v>24</v>
      </c>
      <c r="D41">
        <v>25</v>
      </c>
      <c r="E41" s="1" t="s">
        <v>3</v>
      </c>
    </row>
    <row r="42" spans="1:5" x14ac:dyDescent="0.25">
      <c r="A42" t="s">
        <v>23</v>
      </c>
      <c r="B42">
        <v>2081</v>
      </c>
      <c r="C42">
        <v>2229</v>
      </c>
      <c r="D42">
        <v>2362</v>
      </c>
      <c r="E42" s="1" t="s">
        <v>3</v>
      </c>
    </row>
    <row r="43" spans="1:5" hidden="1" x14ac:dyDescent="0.25">
      <c r="A43" t="s">
        <v>22</v>
      </c>
      <c r="B43">
        <v>1893</v>
      </c>
      <c r="C43">
        <v>1780</v>
      </c>
      <c r="D43">
        <v>1632</v>
      </c>
      <c r="E43" s="1" t="s">
        <v>10</v>
      </c>
    </row>
    <row r="44" spans="1:5" x14ac:dyDescent="0.25">
      <c r="A44" t="s">
        <v>21</v>
      </c>
      <c r="B44">
        <v>6391</v>
      </c>
      <c r="C44">
        <v>6868</v>
      </c>
      <c r="D44">
        <v>7300</v>
      </c>
      <c r="E44" s="1" t="s">
        <v>3</v>
      </c>
    </row>
    <row r="45" spans="1:5" hidden="1" x14ac:dyDescent="0.25">
      <c r="A45" t="s">
        <v>20</v>
      </c>
      <c r="B45">
        <v>157</v>
      </c>
      <c r="C45">
        <v>163</v>
      </c>
      <c r="D45">
        <v>163</v>
      </c>
      <c r="E45" s="1" t="s">
        <v>5</v>
      </c>
    </row>
    <row r="46" spans="1:5" hidden="1" x14ac:dyDescent="0.25">
      <c r="A46" t="s">
        <v>19</v>
      </c>
      <c r="B46">
        <v>2494</v>
      </c>
      <c r="C46">
        <v>2293</v>
      </c>
      <c r="D46">
        <v>2364</v>
      </c>
      <c r="E46" s="1" t="s">
        <v>5</v>
      </c>
    </row>
    <row r="47" spans="1:5" hidden="1" x14ac:dyDescent="0.25">
      <c r="A47" t="s">
        <v>18</v>
      </c>
      <c r="B47">
        <v>4361</v>
      </c>
      <c r="C47">
        <v>4027</v>
      </c>
      <c r="D47">
        <v>3744</v>
      </c>
      <c r="E47" s="1" t="s">
        <v>5</v>
      </c>
    </row>
    <row r="48" spans="1:5" hidden="1" x14ac:dyDescent="0.25">
      <c r="A48" t="s">
        <v>17</v>
      </c>
      <c r="B48">
        <v>193</v>
      </c>
      <c r="C48">
        <v>213</v>
      </c>
      <c r="D48">
        <v>248</v>
      </c>
      <c r="E48" s="1" t="s">
        <v>10</v>
      </c>
    </row>
    <row r="49" spans="1:5" hidden="1" x14ac:dyDescent="0.25">
      <c r="A49" t="s">
        <v>16</v>
      </c>
      <c r="B49">
        <v>14</v>
      </c>
      <c r="C49">
        <v>13</v>
      </c>
      <c r="D49">
        <v>12</v>
      </c>
      <c r="E49" s="1" t="s">
        <v>5</v>
      </c>
    </row>
    <row r="50" spans="1:5" hidden="1" x14ac:dyDescent="0.25">
      <c r="A50" t="s">
        <v>15</v>
      </c>
      <c r="B50">
        <v>868</v>
      </c>
      <c r="C50">
        <v>871</v>
      </c>
      <c r="D50">
        <v>841</v>
      </c>
      <c r="E50" s="1" t="s">
        <v>5</v>
      </c>
    </row>
    <row r="51" spans="1:5" hidden="1" x14ac:dyDescent="0.25">
      <c r="A51" t="s">
        <v>14</v>
      </c>
      <c r="B51">
        <v>506</v>
      </c>
      <c r="C51">
        <v>519</v>
      </c>
      <c r="D51">
        <v>514</v>
      </c>
      <c r="E51" s="1" t="s">
        <v>13</v>
      </c>
    </row>
    <row r="52" spans="1:5" hidden="1" x14ac:dyDescent="0.25">
      <c r="A52" t="s">
        <v>12</v>
      </c>
      <c r="B52">
        <v>0</v>
      </c>
      <c r="C52">
        <v>0</v>
      </c>
      <c r="D52">
        <v>0</v>
      </c>
      <c r="E52" s="1" t="s">
        <v>5</v>
      </c>
    </row>
    <row r="53" spans="1:5" hidden="1" x14ac:dyDescent="0.25">
      <c r="A53" t="s">
        <v>11</v>
      </c>
      <c r="B53">
        <v>2376</v>
      </c>
      <c r="C53">
        <v>2412</v>
      </c>
      <c r="D53">
        <v>2288</v>
      </c>
      <c r="E53" s="1" t="s">
        <v>10</v>
      </c>
    </row>
    <row r="54" spans="1:5" x14ac:dyDescent="0.25">
      <c r="A54" t="s">
        <v>9</v>
      </c>
      <c r="B54">
        <v>2738</v>
      </c>
      <c r="C54">
        <v>2783</v>
      </c>
      <c r="D54">
        <v>2751</v>
      </c>
      <c r="E54" s="1" t="s">
        <v>3</v>
      </c>
    </row>
    <row r="55" spans="1:5" hidden="1" x14ac:dyDescent="0.25">
      <c r="A55" t="s">
        <v>8</v>
      </c>
      <c r="B55">
        <v>33</v>
      </c>
      <c r="C55">
        <v>36</v>
      </c>
      <c r="D55">
        <v>38</v>
      </c>
      <c r="E55" s="1" t="s">
        <v>5</v>
      </c>
    </row>
    <row r="56" spans="1:5" x14ac:dyDescent="0.25">
      <c r="A56" t="s">
        <v>7</v>
      </c>
      <c r="B56">
        <v>7186</v>
      </c>
      <c r="C56">
        <v>7022</v>
      </c>
      <c r="D56">
        <v>6526</v>
      </c>
      <c r="E56" s="1" t="s">
        <v>3</v>
      </c>
    </row>
    <row r="57" spans="1:5" hidden="1" x14ac:dyDescent="0.25">
      <c r="A57" t="s">
        <v>6</v>
      </c>
      <c r="B57">
        <v>0</v>
      </c>
      <c r="C57">
        <v>0</v>
      </c>
      <c r="D57">
        <v>0</v>
      </c>
      <c r="E57" s="1" t="s">
        <v>5</v>
      </c>
    </row>
    <row r="58" spans="1:5" x14ac:dyDescent="0.25">
      <c r="A58" t="s">
        <v>4</v>
      </c>
      <c r="B58">
        <v>4057</v>
      </c>
      <c r="C58">
        <v>4603</v>
      </c>
      <c r="D58">
        <v>4926</v>
      </c>
      <c r="E58" s="1" t="s">
        <v>3</v>
      </c>
    </row>
    <row r="59" spans="1:5" hidden="1" x14ac:dyDescent="0.25">
      <c r="A59" s="1" t="s">
        <v>2</v>
      </c>
      <c r="B59">
        <f>SUM(B2:B58)</f>
        <v>367859</v>
      </c>
      <c r="C59">
        <f>SUM(C2:C58)</f>
        <v>370145</v>
      </c>
      <c r="D59">
        <f>SUM(D2:D58)</f>
        <v>365520</v>
      </c>
    </row>
    <row r="60" spans="1:5" hidden="1" x14ac:dyDescent="0.25">
      <c r="A60" s="1" t="s">
        <v>1</v>
      </c>
      <c r="B60">
        <f>SUM(B9,B21)</f>
        <v>209575</v>
      </c>
      <c r="C60">
        <f>SUM(C9,C21)</f>
        <v>206432</v>
      </c>
      <c r="D60">
        <f>SUM(D9,D21)</f>
        <v>198185</v>
      </c>
    </row>
    <row r="61" spans="1:5" hidden="1" x14ac:dyDescent="0.25">
      <c r="A61" s="1" t="s">
        <v>0</v>
      </c>
      <c r="B61">
        <f>B59-B60</f>
        <v>158284</v>
      </c>
      <c r="C61">
        <f>C59-C60</f>
        <v>163713</v>
      </c>
      <c r="D61">
        <f>D59-D60</f>
        <v>167335</v>
      </c>
    </row>
  </sheetData>
  <autoFilter ref="A1:E61">
    <filterColumn colId="4">
      <filters>
        <filter val="Y"/>
      </filters>
    </filterColumn>
  </autoFilter>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Z210"/>
  <sheetViews>
    <sheetView zoomScale="82" zoomScaleNormal="82" workbookViewId="0">
      <selection activeCell="U6" sqref="U6"/>
    </sheetView>
  </sheetViews>
  <sheetFormatPr defaultColWidth="11.42578125" defaultRowHeight="15" x14ac:dyDescent="0.25"/>
  <cols>
    <col min="1" max="1" width="4.28515625" style="2" customWidth="1"/>
    <col min="2" max="2" width="20" style="2" customWidth="1"/>
    <col min="3" max="3" width="20" style="18" customWidth="1"/>
    <col min="4" max="4" width="27.28515625" style="18" bestFit="1" customWidth="1"/>
    <col min="5" max="5" width="6.7109375" style="2" bestFit="1" customWidth="1"/>
    <col min="6" max="6" width="8.140625" style="2" bestFit="1" customWidth="1"/>
    <col min="7" max="9" width="10.28515625" style="2" bestFit="1" customWidth="1"/>
    <col min="10" max="12" width="11.5703125" style="2" bestFit="1" customWidth="1"/>
    <col min="13" max="15" width="12.42578125" style="2" bestFit="1" customWidth="1"/>
    <col min="16" max="16" width="16" style="2" bestFit="1" customWidth="1"/>
    <col min="17" max="17" width="17.5703125" style="2" bestFit="1" customWidth="1"/>
    <col min="18" max="18" width="18.140625" style="2" bestFit="1" customWidth="1"/>
    <col min="19" max="19" width="11.85546875" style="2" bestFit="1" customWidth="1"/>
    <col min="20" max="20" width="11.42578125" style="2"/>
    <col min="21" max="21" width="15.5703125" style="2" customWidth="1"/>
    <col min="22" max="16384" width="11.42578125" style="2"/>
  </cols>
  <sheetData>
    <row r="1" spans="2:26" x14ac:dyDescent="0.25">
      <c r="B1" s="38"/>
      <c r="C1" s="39"/>
      <c r="D1" s="39"/>
      <c r="E1" s="38"/>
      <c r="F1" s="38"/>
      <c r="G1" s="38"/>
      <c r="H1" s="38"/>
      <c r="I1" s="38"/>
      <c r="J1" s="38"/>
      <c r="K1" s="38"/>
      <c r="L1" s="38"/>
      <c r="M1" s="38"/>
      <c r="N1" s="38"/>
      <c r="O1" s="38"/>
      <c r="P1" s="38"/>
      <c r="Q1" s="37"/>
      <c r="R1" s="37"/>
    </row>
    <row r="2" spans="2:26" ht="47.25" customHeight="1" x14ac:dyDescent="0.25">
      <c r="B2" s="132" t="s">
        <v>597</v>
      </c>
      <c r="C2" s="132" t="s">
        <v>596</v>
      </c>
      <c r="D2" s="132" t="s">
        <v>595</v>
      </c>
      <c r="E2" s="132" t="s">
        <v>594</v>
      </c>
      <c r="F2" s="132" t="s">
        <v>593</v>
      </c>
      <c r="G2" s="135" t="s">
        <v>592</v>
      </c>
      <c r="H2" s="136"/>
      <c r="I2" s="136"/>
      <c r="J2" s="134" t="s">
        <v>591</v>
      </c>
      <c r="K2" s="134"/>
      <c r="L2" s="134"/>
      <c r="M2" s="134" t="s">
        <v>590</v>
      </c>
      <c r="N2" s="134"/>
      <c r="O2" s="134"/>
      <c r="P2" s="134" t="s">
        <v>589</v>
      </c>
      <c r="Q2" s="134"/>
      <c r="R2" s="134"/>
      <c r="S2" s="134" t="s">
        <v>588</v>
      </c>
      <c r="T2" s="134"/>
      <c r="U2" s="134"/>
    </row>
    <row r="3" spans="2:26" ht="24" customHeight="1" x14ac:dyDescent="0.25">
      <c r="B3" s="133"/>
      <c r="C3" s="133"/>
      <c r="D3" s="133"/>
      <c r="E3" s="133"/>
      <c r="F3" s="133"/>
      <c r="G3" s="36" t="s">
        <v>587</v>
      </c>
      <c r="H3" s="36" t="s">
        <v>586</v>
      </c>
      <c r="I3" s="36" t="s">
        <v>585</v>
      </c>
      <c r="J3" s="35" t="s">
        <v>587</v>
      </c>
      <c r="K3" s="35" t="s">
        <v>586</v>
      </c>
      <c r="L3" s="35" t="s">
        <v>585</v>
      </c>
      <c r="M3" s="35" t="s">
        <v>587</v>
      </c>
      <c r="N3" s="35" t="s">
        <v>586</v>
      </c>
      <c r="O3" s="35" t="s">
        <v>585</v>
      </c>
      <c r="P3" s="35" t="s">
        <v>587</v>
      </c>
      <c r="Q3" s="35" t="s">
        <v>586</v>
      </c>
      <c r="R3" s="35" t="s">
        <v>585</v>
      </c>
      <c r="S3" s="35" t="s">
        <v>587</v>
      </c>
      <c r="T3" s="35" t="s">
        <v>586</v>
      </c>
      <c r="U3" s="35" t="s">
        <v>585</v>
      </c>
    </row>
    <row r="4" spans="2:26" ht="24" customHeight="1" x14ac:dyDescent="0.25">
      <c r="B4" s="34"/>
      <c r="C4" s="34"/>
      <c r="D4" s="34"/>
      <c r="E4" s="34"/>
      <c r="F4" s="34"/>
      <c r="G4" s="33" t="s">
        <v>584</v>
      </c>
      <c r="H4" s="33" t="s">
        <v>583</v>
      </c>
      <c r="I4" s="33" t="s">
        <v>583</v>
      </c>
      <c r="J4" s="33" t="s">
        <v>582</v>
      </c>
      <c r="K4" s="33" t="s">
        <v>581</v>
      </c>
      <c r="L4" s="33" t="s">
        <v>580</v>
      </c>
      <c r="M4" s="33" t="s">
        <v>579</v>
      </c>
      <c r="N4" s="33" t="s">
        <v>578</v>
      </c>
      <c r="O4" s="33" t="s">
        <v>577</v>
      </c>
      <c r="P4" s="33" t="s">
        <v>576</v>
      </c>
      <c r="Q4" s="33" t="s">
        <v>575</v>
      </c>
      <c r="R4" s="33" t="s">
        <v>574</v>
      </c>
      <c r="S4" s="33" t="s">
        <v>573</v>
      </c>
      <c r="T4" s="33" t="s">
        <v>572</v>
      </c>
      <c r="U4" s="33" t="s">
        <v>571</v>
      </c>
      <c r="Z4" s="130" t="s">
        <v>57</v>
      </c>
    </row>
    <row r="5" spans="2:26" x14ac:dyDescent="0.25">
      <c r="B5" s="32" t="s">
        <v>106</v>
      </c>
      <c r="C5" s="21" t="s">
        <v>570</v>
      </c>
      <c r="D5" s="21" t="s">
        <v>353</v>
      </c>
      <c r="E5" s="21"/>
      <c r="F5" s="20">
        <v>4</v>
      </c>
      <c r="G5" s="31">
        <v>51.569000000000003</v>
      </c>
      <c r="H5" s="31">
        <v>49.777999999999999</v>
      </c>
      <c r="I5" s="31">
        <v>46.613</v>
      </c>
      <c r="J5" s="31">
        <v>82.973399999999998</v>
      </c>
      <c r="K5" s="31">
        <v>83.219200000000001</v>
      </c>
      <c r="L5" s="31">
        <v>84.320400000000006</v>
      </c>
      <c r="M5" s="31">
        <v>21884.322</v>
      </c>
      <c r="N5" s="31">
        <v>24865.172999999999</v>
      </c>
      <c r="O5" s="31">
        <v>28279.937999999998</v>
      </c>
      <c r="P5" s="31">
        <f t="shared" ref="P5:P36" si="0">+M5*G5*J5/100</f>
        <v>936398.46401901601</v>
      </c>
      <c r="Q5" s="31">
        <f t="shared" ref="Q5:Q36" si="1">+N5*H5*K5/100</f>
        <v>1030036.1456938739</v>
      </c>
      <c r="R5" s="31">
        <f t="shared" ref="R5:R36" si="2">+O5*I5*L5/100</f>
        <v>1111522.2636459409</v>
      </c>
      <c r="S5" s="30">
        <v>31.799999</v>
      </c>
      <c r="T5" s="30">
        <v>48.799999</v>
      </c>
      <c r="U5" s="30">
        <v>80.800003000000004</v>
      </c>
      <c r="Z5" s="130" t="s">
        <v>53</v>
      </c>
    </row>
    <row r="6" spans="2:26" x14ac:dyDescent="0.25">
      <c r="B6" s="32" t="s">
        <v>232</v>
      </c>
      <c r="C6" s="21" t="s">
        <v>569</v>
      </c>
      <c r="D6" s="21" t="s">
        <v>361</v>
      </c>
      <c r="E6" s="21"/>
      <c r="F6" s="20">
        <v>8</v>
      </c>
      <c r="G6" s="31">
        <v>19.216000000000001</v>
      </c>
      <c r="H6" s="31">
        <v>14.994999999999999</v>
      </c>
      <c r="I6" s="31">
        <v>14.69</v>
      </c>
      <c r="J6" s="31">
        <v>97.370900000000006</v>
      </c>
      <c r="K6" s="31">
        <v>98.172399999999996</v>
      </c>
      <c r="L6" s="31">
        <v>98.389899999999997</v>
      </c>
      <c r="M6" s="31">
        <v>3094.3890000000001</v>
      </c>
      <c r="N6" s="31">
        <v>3079.7267999999999</v>
      </c>
      <c r="O6" s="31">
        <v>3132.67</v>
      </c>
      <c r="P6" s="31">
        <f t="shared" si="0"/>
        <v>57898.469391680024</v>
      </c>
      <c r="Q6" s="31">
        <f t="shared" si="1"/>
        <v>45336.508486482977</v>
      </c>
      <c r="R6" s="31">
        <f t="shared" si="2"/>
        <v>45277.971632047695</v>
      </c>
      <c r="S6" s="30">
        <v>97.400002000000001</v>
      </c>
      <c r="T6" s="30">
        <v>97.199996999999996</v>
      </c>
      <c r="U6" s="30">
        <v>98</v>
      </c>
      <c r="Z6" s="130" t="s">
        <v>52</v>
      </c>
    </row>
    <row r="7" spans="2:26" x14ac:dyDescent="0.25">
      <c r="B7" s="32" t="s">
        <v>231</v>
      </c>
      <c r="C7" s="21" t="s">
        <v>568</v>
      </c>
      <c r="D7" s="21" t="s">
        <v>361</v>
      </c>
      <c r="E7" s="21"/>
      <c r="F7" s="20">
        <v>12</v>
      </c>
      <c r="G7" s="31">
        <v>21.613</v>
      </c>
      <c r="H7" s="31">
        <v>20.742000000000001</v>
      </c>
      <c r="I7" s="31">
        <v>20.803999999999998</v>
      </c>
      <c r="J7" s="31">
        <v>95.3249</v>
      </c>
      <c r="K7" s="31">
        <v>96.263199999999998</v>
      </c>
      <c r="L7" s="31">
        <v>96.895399999999995</v>
      </c>
      <c r="M7" s="31">
        <v>29191.762999999999</v>
      </c>
      <c r="N7" s="31">
        <v>31425.203000000001</v>
      </c>
      <c r="O7" s="31">
        <v>33866.614999999998</v>
      </c>
      <c r="P7" s="31">
        <f t="shared" si="0"/>
        <v>601425.35922606301</v>
      </c>
      <c r="Q7" s="31">
        <f t="shared" si="1"/>
        <v>627464.29254852759</v>
      </c>
      <c r="R7" s="31">
        <f t="shared" si="2"/>
        <v>682687.25583905075</v>
      </c>
      <c r="S7" s="30">
        <v>86.800003000000004</v>
      </c>
      <c r="T7" s="30">
        <v>86.800003000000004</v>
      </c>
      <c r="U7" s="30">
        <v>92.800003000000004</v>
      </c>
      <c r="Z7" s="130" t="s">
        <v>93</v>
      </c>
    </row>
    <row r="8" spans="2:26" x14ac:dyDescent="0.25">
      <c r="B8" s="32" t="s">
        <v>62</v>
      </c>
      <c r="C8" s="21" t="s">
        <v>567</v>
      </c>
      <c r="D8" s="21" t="s">
        <v>356</v>
      </c>
      <c r="E8" s="21"/>
      <c r="F8" s="20">
        <v>24</v>
      </c>
      <c r="G8" s="31">
        <v>48.841000000000001</v>
      </c>
      <c r="H8" s="31">
        <v>47.643999999999998</v>
      </c>
      <c r="I8" s="31">
        <v>42.908000000000001</v>
      </c>
      <c r="J8" s="31">
        <v>85.811499999999995</v>
      </c>
      <c r="K8" s="31">
        <v>86.726100000000002</v>
      </c>
      <c r="L8" s="31">
        <v>88.267099999999999</v>
      </c>
      <c r="M8" s="31">
        <v>13217.782999999999</v>
      </c>
      <c r="N8" s="31">
        <v>15186.045</v>
      </c>
      <c r="O8" s="31">
        <v>17555.917000000001</v>
      </c>
      <c r="P8" s="31">
        <f t="shared" si="0"/>
        <v>553973.0770136168</v>
      </c>
      <c r="Q8" s="31">
        <f t="shared" si="1"/>
        <v>627484.08530386281</v>
      </c>
      <c r="R8" s="31">
        <f t="shared" si="2"/>
        <v>664906.60792428476</v>
      </c>
      <c r="S8" s="30">
        <v>31.799999</v>
      </c>
      <c r="T8" s="30">
        <v>42.599997999999999</v>
      </c>
      <c r="U8" s="30">
        <v>65.599997999999999</v>
      </c>
      <c r="Z8" s="130" t="s">
        <v>46</v>
      </c>
    </row>
    <row r="9" spans="2:26" x14ac:dyDescent="0.25">
      <c r="B9" s="32" t="s">
        <v>228</v>
      </c>
      <c r="C9" s="21" t="s">
        <v>566</v>
      </c>
      <c r="D9" s="21" t="s">
        <v>361</v>
      </c>
      <c r="E9" s="21"/>
      <c r="F9" s="20">
        <v>32</v>
      </c>
      <c r="G9" s="31">
        <v>19.553999999999998</v>
      </c>
      <c r="H9" s="31">
        <v>17.873000000000001</v>
      </c>
      <c r="I9" s="31">
        <v>17.372</v>
      </c>
      <c r="J9" s="31">
        <v>97.8155</v>
      </c>
      <c r="K9" s="31">
        <v>98.496200000000002</v>
      </c>
      <c r="L9" s="31">
        <v>98.656999999999996</v>
      </c>
      <c r="M9" s="31">
        <v>35662.368999999999</v>
      </c>
      <c r="N9" s="31">
        <v>37665.735999999997</v>
      </c>
      <c r="O9" s="31">
        <v>39497.353999999999</v>
      </c>
      <c r="P9" s="31">
        <f t="shared" si="0"/>
        <v>682108.528234959</v>
      </c>
      <c r="Q9" s="31">
        <f t="shared" si="1"/>
        <v>663076.1224464979</v>
      </c>
      <c r="R9" s="31">
        <f t="shared" si="2"/>
        <v>676933.06559557002</v>
      </c>
      <c r="S9" s="30">
        <v>85.199996999999996</v>
      </c>
      <c r="T9" s="30">
        <v>88.400002000000001</v>
      </c>
      <c r="U9" s="30">
        <v>94</v>
      </c>
      <c r="Z9" s="2" t="s">
        <v>44</v>
      </c>
    </row>
    <row r="10" spans="2:26" x14ac:dyDescent="0.25">
      <c r="B10" s="32" t="s">
        <v>61</v>
      </c>
      <c r="C10" s="21" t="s">
        <v>565</v>
      </c>
      <c r="D10" s="21" t="s">
        <v>356</v>
      </c>
      <c r="E10" s="21"/>
      <c r="F10" s="20">
        <v>51</v>
      </c>
      <c r="G10" s="31">
        <v>13.512</v>
      </c>
      <c r="H10" s="31">
        <v>14.167</v>
      </c>
      <c r="I10" s="31">
        <v>15.222</v>
      </c>
      <c r="J10" s="31">
        <v>96.271500000000003</v>
      </c>
      <c r="K10" s="31">
        <v>97.082599999999999</v>
      </c>
      <c r="L10" s="31">
        <v>97.479100000000003</v>
      </c>
      <c r="M10" s="31">
        <v>3145.902</v>
      </c>
      <c r="N10" s="31">
        <v>3064.7273999999998</v>
      </c>
      <c r="O10" s="31">
        <v>3073.1776</v>
      </c>
      <c r="P10" s="31">
        <f t="shared" si="0"/>
        <v>40922.538377582161</v>
      </c>
      <c r="Q10" s="31">
        <f t="shared" si="1"/>
        <v>42151.316545806614</v>
      </c>
      <c r="R10" s="31">
        <f t="shared" si="2"/>
        <v>45600.634690449711</v>
      </c>
      <c r="S10" s="30">
        <v>89</v>
      </c>
      <c r="T10" s="30">
        <v>93.199996999999996</v>
      </c>
      <c r="U10" s="30">
        <v>89.400002000000001</v>
      </c>
      <c r="Z10" s="130" t="s">
        <v>38</v>
      </c>
    </row>
    <row r="11" spans="2:26" x14ac:dyDescent="0.25">
      <c r="B11" s="32" t="s">
        <v>564</v>
      </c>
      <c r="C11" s="21" t="s">
        <v>563</v>
      </c>
      <c r="D11" s="21" t="s">
        <v>366</v>
      </c>
      <c r="E11" s="21"/>
      <c r="F11" s="20">
        <v>533</v>
      </c>
      <c r="G11" s="31">
        <v>15.836</v>
      </c>
      <c r="H11" s="31">
        <v>13.334</v>
      </c>
      <c r="I11" s="31">
        <v>11.846</v>
      </c>
      <c r="J11" s="31">
        <v>98.197599999999994</v>
      </c>
      <c r="K11" s="31">
        <v>98.257199999999997</v>
      </c>
      <c r="L11" s="31">
        <v>98.448400000000007</v>
      </c>
      <c r="M11" s="31"/>
      <c r="N11" s="31"/>
      <c r="O11" s="31"/>
      <c r="P11" s="31">
        <f t="shared" si="0"/>
        <v>0</v>
      </c>
      <c r="Q11" s="31">
        <f t="shared" si="1"/>
        <v>0</v>
      </c>
      <c r="R11" s="31">
        <f t="shared" si="2"/>
        <v>0</v>
      </c>
      <c r="S11" s="30">
        <v>0</v>
      </c>
      <c r="T11" s="30">
        <v>0</v>
      </c>
      <c r="U11" s="30">
        <v>0</v>
      </c>
      <c r="V11" s="23"/>
      <c r="W11" s="23"/>
      <c r="X11" s="23"/>
      <c r="Z11" s="130" t="s">
        <v>31</v>
      </c>
    </row>
    <row r="12" spans="2:26" x14ac:dyDescent="0.25">
      <c r="B12" s="32" t="s">
        <v>227</v>
      </c>
      <c r="C12" s="21" t="s">
        <v>562</v>
      </c>
      <c r="D12" s="21" t="s">
        <v>366</v>
      </c>
      <c r="E12" s="21">
        <v>18</v>
      </c>
      <c r="F12" s="20">
        <v>36</v>
      </c>
      <c r="G12" s="31">
        <v>13.425000000000001</v>
      </c>
      <c r="H12" s="31">
        <v>12.701000000000001</v>
      </c>
      <c r="I12" s="31">
        <v>12.741</v>
      </c>
      <c r="J12" s="31">
        <v>99.462999999999994</v>
      </c>
      <c r="K12" s="31">
        <v>99.462999999999994</v>
      </c>
      <c r="L12" s="31">
        <v>99.549400000000006</v>
      </c>
      <c r="M12" s="31">
        <v>18507.400000000001</v>
      </c>
      <c r="N12" s="31">
        <v>19648.04</v>
      </c>
      <c r="O12" s="31">
        <v>21094.38</v>
      </c>
      <c r="P12" s="31">
        <f t="shared" si="0"/>
        <v>247127.60489235003</v>
      </c>
      <c r="Q12" s="31">
        <f t="shared" si="1"/>
        <v>248209.67385006521</v>
      </c>
      <c r="R12" s="31">
        <f t="shared" si="2"/>
        <v>267552.44726891653</v>
      </c>
      <c r="S12" s="30">
        <v>83.800003000000004</v>
      </c>
      <c r="T12" s="30">
        <v>91.800003000000004</v>
      </c>
      <c r="U12" s="30">
        <v>92</v>
      </c>
      <c r="Z12" s="130" t="s">
        <v>30</v>
      </c>
    </row>
    <row r="13" spans="2:26" x14ac:dyDescent="0.25">
      <c r="B13" s="32" t="s">
        <v>226</v>
      </c>
      <c r="C13" s="21" t="s">
        <v>561</v>
      </c>
      <c r="D13" s="21" t="s">
        <v>366</v>
      </c>
      <c r="E13" s="21"/>
      <c r="F13" s="20">
        <v>40</v>
      </c>
      <c r="G13" s="31">
        <v>10.214</v>
      </c>
      <c r="H13" s="31">
        <v>9.6769999999999996</v>
      </c>
      <c r="I13" s="31">
        <v>9.1379999999999999</v>
      </c>
      <c r="J13" s="31">
        <v>99.518799999999999</v>
      </c>
      <c r="K13" s="31">
        <v>99.548000000000002</v>
      </c>
      <c r="L13" s="31">
        <v>99.572299999999998</v>
      </c>
      <c r="M13" s="31">
        <v>7974.7592000000004</v>
      </c>
      <c r="N13" s="31">
        <v>8086.1430999999993</v>
      </c>
      <c r="O13" s="31">
        <v>8303.5065999999988</v>
      </c>
      <c r="P13" s="31">
        <f t="shared" si="0"/>
        <v>81062.23290426415</v>
      </c>
      <c r="Q13" s="31">
        <f t="shared" si="1"/>
        <v>77895.918556060264</v>
      </c>
      <c r="R13" s="31">
        <f t="shared" si="2"/>
        <v>75552.915485759702</v>
      </c>
      <c r="S13" s="30">
        <v>85.199996999999996</v>
      </c>
      <c r="T13" s="30">
        <v>83</v>
      </c>
      <c r="U13" s="30">
        <v>84</v>
      </c>
      <c r="Z13" s="130" t="s">
        <v>29</v>
      </c>
    </row>
    <row r="14" spans="2:26" x14ac:dyDescent="0.25">
      <c r="B14" s="32" t="s">
        <v>224</v>
      </c>
      <c r="C14" s="21" t="s">
        <v>560</v>
      </c>
      <c r="D14" s="21" t="s">
        <v>361</v>
      </c>
      <c r="E14" s="21"/>
      <c r="F14" s="20">
        <v>31</v>
      </c>
      <c r="G14" s="31">
        <v>18.901</v>
      </c>
      <c r="H14" s="31">
        <v>17.105</v>
      </c>
      <c r="I14" s="31">
        <v>19</v>
      </c>
      <c r="J14" s="31">
        <v>93.882300000000001</v>
      </c>
      <c r="K14" s="31">
        <v>95.027900000000002</v>
      </c>
      <c r="L14" s="31">
        <v>95.656800000000004</v>
      </c>
      <c r="M14" s="31">
        <v>7836.4</v>
      </c>
      <c r="N14" s="31">
        <v>8174.4020999999993</v>
      </c>
      <c r="O14" s="31">
        <v>8583.7800000000007</v>
      </c>
      <c r="P14" s="31">
        <f t="shared" si="0"/>
        <v>139054.51632363719</v>
      </c>
      <c r="Q14" s="31">
        <f t="shared" si="1"/>
        <v>132871.00118274483</v>
      </c>
      <c r="R14" s="31">
        <f t="shared" si="2"/>
        <v>156008.41607376002</v>
      </c>
      <c r="S14" s="30">
        <v>73.199996999999996</v>
      </c>
      <c r="T14" s="30">
        <v>75</v>
      </c>
      <c r="U14" s="30">
        <v>73.400002000000001</v>
      </c>
      <c r="Z14" s="130" t="s">
        <v>28</v>
      </c>
    </row>
    <row r="15" spans="2:26" x14ac:dyDescent="0.25">
      <c r="B15" s="32" t="s">
        <v>223</v>
      </c>
      <c r="C15" s="21" t="s">
        <v>559</v>
      </c>
      <c r="D15" s="21" t="s">
        <v>366</v>
      </c>
      <c r="E15" s="21"/>
      <c r="F15" s="20">
        <v>44</v>
      </c>
      <c r="G15" s="31">
        <v>21.262</v>
      </c>
      <c r="H15" s="31">
        <v>18.088000000000001</v>
      </c>
      <c r="I15" s="31">
        <v>16.863</v>
      </c>
      <c r="J15" s="31">
        <v>98.631799999999998</v>
      </c>
      <c r="K15" s="31">
        <v>98.760999999999996</v>
      </c>
      <c r="L15" s="31">
        <v>99.102999999999994</v>
      </c>
      <c r="M15" s="31">
        <v>290.92759999999998</v>
      </c>
      <c r="N15" s="31">
        <v>313.22480000000002</v>
      </c>
      <c r="O15" s="31">
        <v>333.60740000000004</v>
      </c>
      <c r="P15" s="31">
        <f t="shared" si="0"/>
        <v>6101.0698477999213</v>
      </c>
      <c r="Q15" s="31">
        <f t="shared" si="1"/>
        <v>5595.4132722400645</v>
      </c>
      <c r="R15" s="31">
        <f t="shared" si="2"/>
        <v>5575.159760571787</v>
      </c>
      <c r="S15" s="30">
        <v>85.800003000000004</v>
      </c>
      <c r="T15" s="30">
        <v>95.400002000000001</v>
      </c>
      <c r="U15" s="30">
        <v>94.400002000000001</v>
      </c>
      <c r="Z15" s="130" t="s">
        <v>24</v>
      </c>
    </row>
    <row r="16" spans="2:26" x14ac:dyDescent="0.25">
      <c r="B16" s="32" t="s">
        <v>222</v>
      </c>
      <c r="C16" s="21" t="s">
        <v>558</v>
      </c>
      <c r="D16" s="21" t="s">
        <v>366</v>
      </c>
      <c r="E16" s="21"/>
      <c r="F16" s="20">
        <v>48</v>
      </c>
      <c r="G16" s="31">
        <v>21.256</v>
      </c>
      <c r="H16" s="31">
        <v>19.616</v>
      </c>
      <c r="I16" s="31">
        <v>18.151</v>
      </c>
      <c r="J16" s="31">
        <v>98.750299999999996</v>
      </c>
      <c r="K16" s="31">
        <v>98.881200000000007</v>
      </c>
      <c r="L16" s="31">
        <v>99.005899999999997</v>
      </c>
      <c r="M16" s="31">
        <v>607.01300000000003</v>
      </c>
      <c r="N16" s="31">
        <v>680.56640000000004</v>
      </c>
      <c r="O16" s="31">
        <v>759.54240000000004</v>
      </c>
      <c r="P16" s="31">
        <f t="shared" si="0"/>
        <v>12741.423681904986</v>
      </c>
      <c r="Q16" s="31">
        <f t="shared" si="1"/>
        <v>13200.630808659149</v>
      </c>
      <c r="R16" s="31">
        <f t="shared" si="2"/>
        <v>13649.402962168044</v>
      </c>
      <c r="S16" s="30">
        <v>96.800003000000004</v>
      </c>
      <c r="T16" s="30">
        <v>97.800003000000004</v>
      </c>
      <c r="U16" s="30">
        <v>97.800003000000004</v>
      </c>
      <c r="Z16" s="130" t="s">
        <v>23</v>
      </c>
    </row>
    <row r="17" spans="2:26" x14ac:dyDescent="0.25">
      <c r="B17" s="32" t="s">
        <v>105</v>
      </c>
      <c r="C17" s="21" t="s">
        <v>557</v>
      </c>
      <c r="D17" s="21" t="s">
        <v>353</v>
      </c>
      <c r="E17" s="21"/>
      <c r="F17" s="20">
        <v>50</v>
      </c>
      <c r="G17" s="31">
        <v>28.754999999999999</v>
      </c>
      <c r="H17" s="31">
        <v>25.408000000000001</v>
      </c>
      <c r="I17" s="31">
        <v>21.588999999999999</v>
      </c>
      <c r="J17" s="31">
        <v>92.741600000000005</v>
      </c>
      <c r="K17" s="31">
        <v>94.285200000000003</v>
      </c>
      <c r="L17" s="31">
        <v>95.535200000000003</v>
      </c>
      <c r="M17" s="31">
        <v>133200</v>
      </c>
      <c r="N17" s="31">
        <v>145800</v>
      </c>
      <c r="O17" s="31">
        <v>157700</v>
      </c>
      <c r="P17" s="31">
        <f t="shared" si="0"/>
        <v>3552157.2310560001</v>
      </c>
      <c r="Q17" s="31">
        <f t="shared" si="1"/>
        <v>3492782.4112128005</v>
      </c>
      <c r="R17" s="31">
        <f t="shared" si="2"/>
        <v>3252577.3755255998</v>
      </c>
      <c r="S17" s="30">
        <v>75</v>
      </c>
      <c r="T17" s="30">
        <v>87.599997999999999</v>
      </c>
      <c r="U17" s="30">
        <v>93.800003000000004</v>
      </c>
      <c r="Z17" s="130" t="s">
        <v>21</v>
      </c>
    </row>
    <row r="18" spans="2:26" x14ac:dyDescent="0.25">
      <c r="B18" s="32" t="s">
        <v>221</v>
      </c>
      <c r="C18" s="21" t="s">
        <v>556</v>
      </c>
      <c r="D18" s="21" t="s">
        <v>366</v>
      </c>
      <c r="E18" s="21"/>
      <c r="F18" s="20">
        <v>52</v>
      </c>
      <c r="G18" s="31">
        <v>12.595000000000001</v>
      </c>
      <c r="H18" s="31">
        <v>11.638999999999999</v>
      </c>
      <c r="I18" s="31">
        <v>11.237</v>
      </c>
      <c r="J18" s="31">
        <v>98.646299999999997</v>
      </c>
      <c r="K18" s="31">
        <v>98.794399999999996</v>
      </c>
      <c r="L18" s="31">
        <v>98.985799999999998</v>
      </c>
      <c r="M18" s="31">
        <v>255.26300000000001</v>
      </c>
      <c r="N18" s="31">
        <v>251.80160000000001</v>
      </c>
      <c r="O18" s="31">
        <v>254.55179999999999</v>
      </c>
      <c r="P18" s="31">
        <f t="shared" si="0"/>
        <v>3171.5155225655553</v>
      </c>
      <c r="Q18" s="31">
        <f t="shared" si="1"/>
        <v>2895.3860762771455</v>
      </c>
      <c r="R18" s="31">
        <f t="shared" si="2"/>
        <v>2831.3884142361226</v>
      </c>
      <c r="S18" s="30">
        <v>90.800003000000004</v>
      </c>
      <c r="T18" s="30">
        <v>89.199996999999996</v>
      </c>
      <c r="U18" s="30">
        <v>89.400002000000001</v>
      </c>
      <c r="Z18" s="130" t="s">
        <v>9</v>
      </c>
    </row>
    <row r="19" spans="2:26" x14ac:dyDescent="0.25">
      <c r="B19" s="32" t="s">
        <v>220</v>
      </c>
      <c r="C19" s="21" t="s">
        <v>555</v>
      </c>
      <c r="D19" s="21" t="s">
        <v>361</v>
      </c>
      <c r="E19" s="21"/>
      <c r="F19" s="20">
        <v>112</v>
      </c>
      <c r="G19" s="31">
        <v>9.4499999999999993</v>
      </c>
      <c r="H19" s="31">
        <v>9.2810000000000006</v>
      </c>
      <c r="I19" s="31">
        <v>9.9700000000000006</v>
      </c>
      <c r="J19" s="31">
        <v>98.545100000000005</v>
      </c>
      <c r="K19" s="31">
        <v>99.034499999999994</v>
      </c>
      <c r="L19" s="31">
        <v>99.072100000000006</v>
      </c>
      <c r="M19" s="31">
        <v>10115</v>
      </c>
      <c r="N19" s="31">
        <v>9919.739599999999</v>
      </c>
      <c r="O19" s="31">
        <v>9710.7883000000002</v>
      </c>
      <c r="P19" s="31">
        <f t="shared" si="0"/>
        <v>94196.058374250017</v>
      </c>
      <c r="Q19" s="31">
        <f t="shared" si="1"/>
        <v>91176.214655937511</v>
      </c>
      <c r="R19" s="31">
        <f t="shared" si="2"/>
        <v>95918.198496782075</v>
      </c>
      <c r="S19" s="30">
        <v>98</v>
      </c>
      <c r="T19" s="30">
        <v>89.199996999999996</v>
      </c>
      <c r="U19" s="30">
        <v>97.199996999999996</v>
      </c>
      <c r="Z19" s="130" t="s">
        <v>7</v>
      </c>
    </row>
    <row r="20" spans="2:26" x14ac:dyDescent="0.25">
      <c r="B20" s="32" t="s">
        <v>219</v>
      </c>
      <c r="C20" s="21" t="s">
        <v>554</v>
      </c>
      <c r="D20" s="21" t="s">
        <v>366</v>
      </c>
      <c r="E20" s="21"/>
      <c r="F20" s="20">
        <v>56</v>
      </c>
      <c r="G20" s="31">
        <v>11.22</v>
      </c>
      <c r="H20" s="31">
        <v>10.843</v>
      </c>
      <c r="I20" s="31">
        <v>11.292999999999999</v>
      </c>
      <c r="J20" s="31">
        <v>99.486599999999996</v>
      </c>
      <c r="K20" s="31">
        <v>99.563400000000001</v>
      </c>
      <c r="L20" s="31">
        <v>99.586299999999994</v>
      </c>
      <c r="M20" s="31">
        <v>10180.76</v>
      </c>
      <c r="N20" s="31">
        <v>10333.84</v>
      </c>
      <c r="O20" s="31">
        <v>10629.9</v>
      </c>
      <c r="P20" s="31">
        <f t="shared" si="0"/>
        <v>113641.67999495519</v>
      </c>
      <c r="Q20" s="31">
        <f t="shared" si="1"/>
        <v>111560.61757479409</v>
      </c>
      <c r="R20" s="31">
        <f t="shared" si="2"/>
        <v>119546.84090308407</v>
      </c>
      <c r="S20" s="30">
        <v>88.400002000000001</v>
      </c>
      <c r="T20" s="30">
        <v>95</v>
      </c>
      <c r="U20" s="30">
        <v>98.599997999999999</v>
      </c>
      <c r="Z20" s="130" t="s">
        <v>4</v>
      </c>
    </row>
    <row r="21" spans="2:26" x14ac:dyDescent="0.25">
      <c r="B21" s="32" t="s">
        <v>218</v>
      </c>
      <c r="C21" s="21" t="s">
        <v>553</v>
      </c>
      <c r="D21" s="21" t="s">
        <v>356</v>
      </c>
      <c r="E21" s="21"/>
      <c r="F21" s="20">
        <v>84</v>
      </c>
      <c r="G21" s="31">
        <v>31.603999999999999</v>
      </c>
      <c r="H21" s="31">
        <v>27.806000000000001</v>
      </c>
      <c r="I21" s="31">
        <v>24.916</v>
      </c>
      <c r="J21" s="31">
        <v>97.535600000000002</v>
      </c>
      <c r="K21" s="31">
        <v>98.074799999999996</v>
      </c>
      <c r="L21" s="31">
        <v>98.326400000000007</v>
      </c>
      <c r="M21" s="31">
        <v>230.02</v>
      </c>
      <c r="N21" s="31">
        <v>265.72000000000003</v>
      </c>
      <c r="O21" s="31">
        <v>311.99720000000002</v>
      </c>
      <c r="P21" s="31">
        <f t="shared" si="0"/>
        <v>7090.4012385404812</v>
      </c>
      <c r="Q21" s="31">
        <f t="shared" si="1"/>
        <v>7246.3647941193603</v>
      </c>
      <c r="R21" s="31">
        <f t="shared" si="2"/>
        <v>7643.6212198716939</v>
      </c>
      <c r="S21" s="30">
        <v>85.599997999999999</v>
      </c>
      <c r="T21" s="30">
        <v>93.800003000000004</v>
      </c>
      <c r="U21" s="30">
        <v>96.199996999999996</v>
      </c>
    </row>
    <row r="22" spans="2:26" x14ac:dyDescent="0.25">
      <c r="B22" s="32" t="s">
        <v>104</v>
      </c>
      <c r="C22" s="21" t="s">
        <v>552</v>
      </c>
      <c r="D22" s="21" t="s">
        <v>353</v>
      </c>
      <c r="E22" s="21"/>
      <c r="F22" s="20">
        <v>204</v>
      </c>
      <c r="G22" s="31">
        <v>42.886000000000003</v>
      </c>
      <c r="H22" s="31">
        <v>41.058999999999997</v>
      </c>
      <c r="I22" s="31">
        <v>39.598999999999997</v>
      </c>
      <c r="J22" s="31">
        <v>89.926900000000003</v>
      </c>
      <c r="K22" s="31">
        <v>90.662300000000002</v>
      </c>
      <c r="L22" s="31">
        <v>91.520899999999997</v>
      </c>
      <c r="M22" s="31">
        <v>6087.3257999999996</v>
      </c>
      <c r="N22" s="31">
        <v>7124.0524000000005</v>
      </c>
      <c r="O22" s="31">
        <v>8397.2074000000011</v>
      </c>
      <c r="P22" s="31">
        <f t="shared" si="0"/>
        <v>234764.11320225682</v>
      </c>
      <c r="Q22" s="31">
        <f t="shared" si="1"/>
        <v>265193.09107663692</v>
      </c>
      <c r="R22" s="31">
        <f t="shared" si="2"/>
        <v>304326.22637913801</v>
      </c>
      <c r="S22" s="30">
        <v>68.599997999999999</v>
      </c>
      <c r="T22" s="30">
        <v>74.800003000000004</v>
      </c>
      <c r="U22" s="30">
        <v>77.400002000000001</v>
      </c>
    </row>
    <row r="23" spans="2:26" x14ac:dyDescent="0.25">
      <c r="B23" s="32" t="s">
        <v>59</v>
      </c>
      <c r="C23" s="21" t="s">
        <v>551</v>
      </c>
      <c r="D23" s="21" t="s">
        <v>356</v>
      </c>
      <c r="E23" s="21"/>
      <c r="F23" s="20">
        <v>64</v>
      </c>
      <c r="G23" s="31">
        <v>29.562999999999999</v>
      </c>
      <c r="H23" s="31">
        <v>25.704000000000001</v>
      </c>
      <c r="I23" s="31">
        <v>21.521999999999998</v>
      </c>
      <c r="J23" s="31">
        <v>93.030799999999999</v>
      </c>
      <c r="K23" s="31">
        <v>94.727599999999995</v>
      </c>
      <c r="L23" s="31">
        <v>95.552899999999994</v>
      </c>
      <c r="M23" s="31">
        <v>522.57339999999999</v>
      </c>
      <c r="N23" s="31">
        <v>597.04719999999998</v>
      </c>
      <c r="O23" s="31">
        <v>674.79340000000002</v>
      </c>
      <c r="P23" s="31">
        <f t="shared" si="0"/>
        <v>14372.177046432653</v>
      </c>
      <c r="Q23" s="31">
        <f t="shared" si="1"/>
        <v>14537.372298012748</v>
      </c>
      <c r="R23" s="31">
        <f t="shared" si="2"/>
        <v>13877.055510814487</v>
      </c>
      <c r="S23" s="30">
        <v>87</v>
      </c>
      <c r="T23" s="30">
        <v>90</v>
      </c>
      <c r="U23" s="30">
        <v>95.400002000000001</v>
      </c>
      <c r="V23" s="23"/>
      <c r="W23" s="23"/>
      <c r="X23" s="23"/>
    </row>
    <row r="24" spans="2:26" x14ac:dyDescent="0.25">
      <c r="B24" s="32" t="s">
        <v>58</v>
      </c>
      <c r="C24" s="21" t="s">
        <v>550</v>
      </c>
      <c r="D24" s="21" t="s">
        <v>356</v>
      </c>
      <c r="E24" s="21"/>
      <c r="F24" s="20">
        <v>68</v>
      </c>
      <c r="G24" s="31">
        <v>32.582999999999998</v>
      </c>
      <c r="H24" s="31">
        <v>30.245000000000001</v>
      </c>
      <c r="I24" s="31">
        <v>27.349</v>
      </c>
      <c r="J24" s="31">
        <v>93.338300000000004</v>
      </c>
      <c r="K24" s="31">
        <v>94.441199999999995</v>
      </c>
      <c r="L24" s="31">
        <v>95.440399999999997</v>
      </c>
      <c r="M24" s="31">
        <v>7815.7209999999995</v>
      </c>
      <c r="N24" s="31">
        <v>8662.4655999999995</v>
      </c>
      <c r="O24" s="31">
        <v>9523.4712</v>
      </c>
      <c r="P24" s="31">
        <f t="shared" si="0"/>
        <v>237694.97628212135</v>
      </c>
      <c r="Q24" s="31">
        <f t="shared" si="1"/>
        <v>247432.42330006164</v>
      </c>
      <c r="R24" s="31">
        <f t="shared" si="2"/>
        <v>248581.59760695009</v>
      </c>
      <c r="S24" s="30">
        <v>64.199996999999996</v>
      </c>
      <c r="T24" s="30">
        <v>79.199996999999996</v>
      </c>
      <c r="U24" s="30">
        <v>83.599997999999999</v>
      </c>
    </row>
    <row r="25" spans="2:26" x14ac:dyDescent="0.25">
      <c r="B25" s="32" t="s">
        <v>216</v>
      </c>
      <c r="C25" s="21" t="s">
        <v>549</v>
      </c>
      <c r="D25" s="21" t="s">
        <v>361</v>
      </c>
      <c r="E25" s="21"/>
      <c r="F25" s="20">
        <v>70</v>
      </c>
      <c r="G25" s="31">
        <v>12.346</v>
      </c>
      <c r="H25" s="31">
        <v>9.8179999999999996</v>
      </c>
      <c r="I25" s="31">
        <v>9.1679999999999993</v>
      </c>
      <c r="J25" s="31">
        <v>98.497600000000006</v>
      </c>
      <c r="K25" s="31">
        <v>98.597399999999993</v>
      </c>
      <c r="L25" s="31">
        <v>98.723699999999994</v>
      </c>
      <c r="M25" s="31">
        <v>3416.9626000000003</v>
      </c>
      <c r="N25" s="31">
        <v>3756.5632000000001</v>
      </c>
      <c r="O25" s="31">
        <v>3776.1702</v>
      </c>
      <c r="P25" s="31">
        <f t="shared" si="0"/>
        <v>41552.020496019773</v>
      </c>
      <c r="Q25" s="31">
        <f t="shared" si="1"/>
        <v>36364.631442258658</v>
      </c>
      <c r="R25" s="31">
        <f t="shared" si="2"/>
        <v>34178.074247512479</v>
      </c>
      <c r="S25" s="30">
        <v>76</v>
      </c>
      <c r="T25" s="30">
        <v>85.400002000000001</v>
      </c>
      <c r="U25" s="30">
        <v>91.199996999999996</v>
      </c>
    </row>
    <row r="26" spans="2:26" x14ac:dyDescent="0.25">
      <c r="B26" s="32" t="s">
        <v>215</v>
      </c>
      <c r="C26" s="21" t="s">
        <v>548</v>
      </c>
      <c r="D26" s="21" t="s">
        <v>361</v>
      </c>
      <c r="E26" s="21"/>
      <c r="F26" s="20">
        <v>72</v>
      </c>
      <c r="G26" s="31">
        <v>29.033000000000001</v>
      </c>
      <c r="H26" s="31">
        <v>25.939</v>
      </c>
      <c r="I26" s="31">
        <v>24.675999999999998</v>
      </c>
      <c r="J26" s="31">
        <v>93.844300000000004</v>
      </c>
      <c r="K26" s="31">
        <v>93.909599999999998</v>
      </c>
      <c r="L26" s="31">
        <v>96.378699999999995</v>
      </c>
      <c r="M26" s="31">
        <v>1623.039</v>
      </c>
      <c r="N26" s="31">
        <v>1770.5056000000002</v>
      </c>
      <c r="O26" s="31">
        <v>1893.4418000000001</v>
      </c>
      <c r="P26" s="31">
        <f t="shared" si="0"/>
        <v>44221.021336446145</v>
      </c>
      <c r="Q26" s="31">
        <f t="shared" si="1"/>
        <v>43128.119742034411</v>
      </c>
      <c r="R26" s="31">
        <f t="shared" si="2"/>
        <v>45030.605434575693</v>
      </c>
      <c r="S26" s="30">
        <v>96.400002000000001</v>
      </c>
      <c r="T26" s="30">
        <v>96.599997999999999</v>
      </c>
      <c r="U26" s="30">
        <v>96</v>
      </c>
    </row>
    <row r="27" spans="2:26" x14ac:dyDescent="0.25">
      <c r="B27" s="32" t="s">
        <v>213</v>
      </c>
      <c r="C27" s="21" t="s">
        <v>547</v>
      </c>
      <c r="D27" s="21" t="s">
        <v>361</v>
      </c>
      <c r="E27" s="21"/>
      <c r="F27" s="20">
        <v>76</v>
      </c>
      <c r="G27" s="31">
        <v>21.581</v>
      </c>
      <c r="H27" s="31">
        <v>19.832999999999998</v>
      </c>
      <c r="I27" s="31">
        <v>16.405000000000001</v>
      </c>
      <c r="J27" s="31">
        <v>96.589399999999998</v>
      </c>
      <c r="K27" s="31">
        <v>97.275300000000001</v>
      </c>
      <c r="L27" s="31">
        <v>97.653800000000004</v>
      </c>
      <c r="M27" s="31">
        <v>166700</v>
      </c>
      <c r="N27" s="31">
        <v>179100</v>
      </c>
      <c r="O27" s="31">
        <v>190000</v>
      </c>
      <c r="P27" s="31">
        <f t="shared" si="0"/>
        <v>3474854.5676137996</v>
      </c>
      <c r="Q27" s="31">
        <f t="shared" si="1"/>
        <v>3455306.4955958999</v>
      </c>
      <c r="R27" s="31">
        <f t="shared" si="2"/>
        <v>3043820.1191000002</v>
      </c>
      <c r="S27" s="30">
        <v>84.800003000000004</v>
      </c>
      <c r="T27" s="30">
        <v>97.800003000000004</v>
      </c>
      <c r="U27" s="30">
        <v>98.199996999999996</v>
      </c>
    </row>
    <row r="28" spans="2:26" x14ac:dyDescent="0.25">
      <c r="B28" s="32" t="s">
        <v>212</v>
      </c>
      <c r="C28" s="21" t="s">
        <v>546</v>
      </c>
      <c r="D28" s="21" t="s">
        <v>366</v>
      </c>
      <c r="E28" s="21"/>
      <c r="F28" s="20">
        <v>96</v>
      </c>
      <c r="G28" s="31">
        <v>25.12</v>
      </c>
      <c r="H28" s="31">
        <v>21.579000000000001</v>
      </c>
      <c r="I28" s="31">
        <v>20.061</v>
      </c>
      <c r="J28" s="31">
        <v>99.3309</v>
      </c>
      <c r="K28" s="31">
        <v>99.393299999999996</v>
      </c>
      <c r="L28" s="31">
        <v>99.448700000000002</v>
      </c>
      <c r="M28" s="31">
        <v>310.46159999999998</v>
      </c>
      <c r="N28" s="31">
        <v>348.18299999999999</v>
      </c>
      <c r="O28" s="31">
        <v>384.86720000000003</v>
      </c>
      <c r="P28" s="31">
        <f t="shared" si="0"/>
        <v>7746.6136520321279</v>
      </c>
      <c r="Q28" s="31">
        <f t="shared" si="1"/>
        <v>7467.856910713881</v>
      </c>
      <c r="R28" s="31">
        <f t="shared" si="2"/>
        <v>7678.2560135827116</v>
      </c>
      <c r="S28" s="30">
        <v>97.199996999999996</v>
      </c>
      <c r="T28" s="30">
        <v>96.400002000000001</v>
      </c>
      <c r="U28" s="30">
        <v>96.199996999999996</v>
      </c>
    </row>
    <row r="29" spans="2:26" x14ac:dyDescent="0.25">
      <c r="B29" s="32" t="s">
        <v>211</v>
      </c>
      <c r="C29" s="21" t="s">
        <v>545</v>
      </c>
      <c r="D29" s="21" t="s">
        <v>361</v>
      </c>
      <c r="E29" s="21"/>
      <c r="F29" s="20">
        <v>100</v>
      </c>
      <c r="G29" s="31">
        <v>8.4469999999999992</v>
      </c>
      <c r="H29" s="31">
        <v>8.6839999999999993</v>
      </c>
      <c r="I29" s="31">
        <v>9.5579999999999998</v>
      </c>
      <c r="J29" s="31">
        <v>98.475200000000001</v>
      </c>
      <c r="K29" s="31">
        <v>98.683499999999995</v>
      </c>
      <c r="L29" s="31">
        <v>98.820999999999998</v>
      </c>
      <c r="M29" s="31">
        <v>8306.6135999999988</v>
      </c>
      <c r="N29" s="31">
        <v>7888.6</v>
      </c>
      <c r="O29" s="31">
        <v>7661.4620000000004</v>
      </c>
      <c r="P29" s="31">
        <f t="shared" si="0"/>
        <v>69096.074443672347</v>
      </c>
      <c r="Q29" s="31">
        <f t="shared" si="1"/>
        <v>67602.739309404002</v>
      </c>
      <c r="R29" s="31">
        <f t="shared" si="2"/>
        <v>72364.892683745173</v>
      </c>
      <c r="S29" s="30">
        <v>95.199996999999996</v>
      </c>
      <c r="T29" s="30">
        <v>94.199996999999996</v>
      </c>
      <c r="U29" s="30">
        <v>95</v>
      </c>
    </row>
    <row r="30" spans="2:26" x14ac:dyDescent="0.25">
      <c r="B30" s="32" t="s">
        <v>103</v>
      </c>
      <c r="C30" s="21" t="s">
        <v>544</v>
      </c>
      <c r="D30" s="21" t="s">
        <v>353</v>
      </c>
      <c r="E30" s="21"/>
      <c r="F30" s="20">
        <v>854</v>
      </c>
      <c r="G30" s="31">
        <v>46.078000000000003</v>
      </c>
      <c r="H30" s="31">
        <v>45.012999999999998</v>
      </c>
      <c r="I30" s="31">
        <v>47.819000000000003</v>
      </c>
      <c r="J30" s="31">
        <v>90.588899999999995</v>
      </c>
      <c r="K30" s="31">
        <v>91.325900000000004</v>
      </c>
      <c r="L30" s="31">
        <v>91.995800000000003</v>
      </c>
      <c r="M30" s="31">
        <v>10715.851000000001</v>
      </c>
      <c r="N30" s="31">
        <v>12460.757</v>
      </c>
      <c r="O30" s="31">
        <v>14736.802</v>
      </c>
      <c r="P30" s="31">
        <f t="shared" si="0"/>
        <v>447296.26612142404</v>
      </c>
      <c r="Q30" s="31">
        <f t="shared" si="1"/>
        <v>512243.37014803686</v>
      </c>
      <c r="R30" s="31">
        <f t="shared" si="2"/>
        <v>648293.60668729688</v>
      </c>
      <c r="S30" s="30">
        <v>43.200001</v>
      </c>
      <c r="T30" s="30">
        <v>64</v>
      </c>
      <c r="U30" s="30">
        <v>82</v>
      </c>
    </row>
    <row r="31" spans="2:26" x14ac:dyDescent="0.25">
      <c r="B31" s="32" t="s">
        <v>102</v>
      </c>
      <c r="C31" s="21" t="s">
        <v>543</v>
      </c>
      <c r="D31" s="21" t="s">
        <v>353</v>
      </c>
      <c r="E31" s="21"/>
      <c r="F31" s="20">
        <v>108</v>
      </c>
      <c r="G31" s="31">
        <v>39.735999999999997</v>
      </c>
      <c r="H31" s="31">
        <v>36.091999999999999</v>
      </c>
      <c r="I31" s="31">
        <v>34.581000000000003</v>
      </c>
      <c r="J31" s="31">
        <v>88.621200000000002</v>
      </c>
      <c r="K31" s="31">
        <v>89.430800000000005</v>
      </c>
      <c r="L31" s="31">
        <v>90.182599999999994</v>
      </c>
      <c r="M31" s="31">
        <v>6268.7997999999998</v>
      </c>
      <c r="N31" s="31">
        <v>6792.1368000000002</v>
      </c>
      <c r="O31" s="31">
        <v>7839.4372000000003</v>
      </c>
      <c r="P31" s="31">
        <f t="shared" si="0"/>
        <v>220752.77613369757</v>
      </c>
      <c r="Q31" s="31">
        <f t="shared" si="1"/>
        <v>219232.27411355317</v>
      </c>
      <c r="R31" s="31">
        <f t="shared" si="2"/>
        <v>244481.04055696688</v>
      </c>
      <c r="S31" s="30">
        <v>72.800003000000004</v>
      </c>
      <c r="T31" s="30">
        <v>81.400002000000001</v>
      </c>
      <c r="U31" s="30">
        <v>92.400002000000001</v>
      </c>
    </row>
    <row r="32" spans="2:26" x14ac:dyDescent="0.25">
      <c r="B32" s="32" t="s">
        <v>101</v>
      </c>
      <c r="C32" s="21" t="s">
        <v>542</v>
      </c>
      <c r="D32" s="21" t="s">
        <v>353</v>
      </c>
      <c r="E32" s="21"/>
      <c r="F32" s="20">
        <v>116</v>
      </c>
      <c r="G32" s="31">
        <v>31.972000000000001</v>
      </c>
      <c r="H32" s="31">
        <v>25.826000000000001</v>
      </c>
      <c r="I32" s="31">
        <v>24.89</v>
      </c>
      <c r="J32" s="31">
        <v>91.710099999999997</v>
      </c>
      <c r="K32" s="31">
        <v>92.764899999999997</v>
      </c>
      <c r="L32" s="31">
        <v>93.773300000000006</v>
      </c>
      <c r="M32" s="31">
        <v>11961.138999999999</v>
      </c>
      <c r="N32" s="31">
        <v>13209.992</v>
      </c>
      <c r="O32" s="31">
        <v>14329.816000000001</v>
      </c>
      <c r="P32" s="31">
        <f t="shared" si="0"/>
        <v>350719.17318618292</v>
      </c>
      <c r="Q32" s="31">
        <f t="shared" si="1"/>
        <v>316477.89554783539</v>
      </c>
      <c r="R32" s="31">
        <f t="shared" si="2"/>
        <v>334460.40413001599</v>
      </c>
      <c r="S32" s="30">
        <v>46.200001</v>
      </c>
      <c r="T32" s="30">
        <v>65.400002000000001</v>
      </c>
      <c r="U32" s="30">
        <v>85.800003000000004</v>
      </c>
      <c r="V32" s="23"/>
      <c r="W32" s="23"/>
      <c r="X32" s="23"/>
    </row>
    <row r="33" spans="2:24" x14ac:dyDescent="0.25">
      <c r="B33" s="32" t="s">
        <v>57</v>
      </c>
      <c r="C33" s="21" t="s">
        <v>541</v>
      </c>
      <c r="D33" s="21" t="s">
        <v>859</v>
      </c>
      <c r="E33" s="21"/>
      <c r="F33" s="20">
        <v>120</v>
      </c>
      <c r="G33" s="31">
        <v>37.859000000000002</v>
      </c>
      <c r="H33" s="31">
        <v>37.841000000000001</v>
      </c>
      <c r="I33" s="31">
        <v>37.113</v>
      </c>
      <c r="J33" s="31">
        <v>90.965800000000002</v>
      </c>
      <c r="K33" s="31">
        <v>91.066299999999998</v>
      </c>
      <c r="L33" s="31">
        <v>91.320599999999999</v>
      </c>
      <c r="M33" s="31">
        <v>14774.38</v>
      </c>
      <c r="N33" s="31">
        <v>16633.752</v>
      </c>
      <c r="O33" s="31">
        <v>18666.240000000002</v>
      </c>
      <c r="P33" s="31">
        <f t="shared" si="0"/>
        <v>508811.0643098724</v>
      </c>
      <c r="Q33" s="31">
        <f t="shared" si="1"/>
        <v>573205.72385077341</v>
      </c>
      <c r="R33" s="31">
        <f t="shared" si="2"/>
        <v>632632.73934857477</v>
      </c>
      <c r="S33" s="30">
        <v>51</v>
      </c>
      <c r="T33" s="30">
        <v>67.400002000000001</v>
      </c>
      <c r="U33" s="30">
        <v>81.400002000000001</v>
      </c>
    </row>
    <row r="34" spans="2:24" x14ac:dyDescent="0.25">
      <c r="B34" s="32" t="s">
        <v>210</v>
      </c>
      <c r="C34" s="21" t="s">
        <v>540</v>
      </c>
      <c r="D34" s="21" t="s">
        <v>366</v>
      </c>
      <c r="E34" s="21"/>
      <c r="F34" s="20">
        <v>124</v>
      </c>
      <c r="G34" s="31">
        <v>11.577999999999999</v>
      </c>
      <c r="H34" s="31">
        <v>10.592000000000001</v>
      </c>
      <c r="I34" s="31">
        <v>10.625</v>
      </c>
      <c r="J34" s="31">
        <v>99.452299999999994</v>
      </c>
      <c r="K34" s="31">
        <v>99.491900000000001</v>
      </c>
      <c r="L34" s="31">
        <v>99.519000000000005</v>
      </c>
      <c r="M34" s="31">
        <v>29952.04</v>
      </c>
      <c r="N34" s="31">
        <v>31376.92</v>
      </c>
      <c r="O34" s="31">
        <v>32997.660000000003</v>
      </c>
      <c r="P34" s="31">
        <f t="shared" si="0"/>
        <v>344885.3792133797</v>
      </c>
      <c r="Q34" s="31">
        <f t="shared" si="1"/>
        <v>330655.69506553211</v>
      </c>
      <c r="R34" s="31">
        <f t="shared" si="2"/>
        <v>348913.75083862507</v>
      </c>
      <c r="S34" s="30">
        <v>88.800003000000004</v>
      </c>
      <c r="T34" s="30">
        <v>92.400002000000001</v>
      </c>
      <c r="U34" s="30">
        <v>88.400002000000001</v>
      </c>
    </row>
    <row r="35" spans="2:24" x14ac:dyDescent="0.25">
      <c r="B35" s="32" t="s">
        <v>56</v>
      </c>
      <c r="C35" s="21" t="s">
        <v>539</v>
      </c>
      <c r="D35" s="21" t="s">
        <v>356</v>
      </c>
      <c r="E35" s="21"/>
      <c r="F35" s="20">
        <v>132</v>
      </c>
      <c r="G35" s="31">
        <v>31.54</v>
      </c>
      <c r="H35" s="31">
        <v>27.791</v>
      </c>
      <c r="I35" s="31">
        <v>24.260999999999999</v>
      </c>
      <c r="J35" s="31">
        <v>96.303700000000006</v>
      </c>
      <c r="K35" s="31">
        <v>96.882099999999994</v>
      </c>
      <c r="L35" s="31">
        <v>97.425399999999996</v>
      </c>
      <c r="M35" s="31">
        <v>414.80399999999997</v>
      </c>
      <c r="N35" s="31">
        <v>454.60340000000002</v>
      </c>
      <c r="O35" s="31">
        <v>491.61840000000001</v>
      </c>
      <c r="P35" s="31">
        <f t="shared" si="0"/>
        <v>12599.334256051921</v>
      </c>
      <c r="Q35" s="31">
        <f t="shared" si="1"/>
        <v>12239.971248555597</v>
      </c>
      <c r="R35" s="31">
        <f t="shared" si="2"/>
        <v>11620.07749545421</v>
      </c>
      <c r="S35" s="30">
        <v>88</v>
      </c>
      <c r="T35" s="30">
        <v>91.199996999999996</v>
      </c>
      <c r="U35" s="30">
        <v>97.400002000000001</v>
      </c>
    </row>
    <row r="36" spans="2:24" x14ac:dyDescent="0.25">
      <c r="B36" s="32" t="s">
        <v>100</v>
      </c>
      <c r="C36" s="21" t="s">
        <v>538</v>
      </c>
      <c r="D36" s="21" t="s">
        <v>353</v>
      </c>
      <c r="E36" s="21"/>
      <c r="F36" s="20">
        <v>140</v>
      </c>
      <c r="G36" s="31">
        <v>40.140999999999998</v>
      </c>
      <c r="H36" s="31">
        <v>38.572000000000003</v>
      </c>
      <c r="I36" s="31">
        <v>35.622999999999998</v>
      </c>
      <c r="J36" s="31">
        <v>88.779499999999999</v>
      </c>
      <c r="K36" s="31">
        <v>88.7042</v>
      </c>
      <c r="L36" s="31">
        <v>89.464200000000005</v>
      </c>
      <c r="M36" s="31">
        <v>3502.4537999999998</v>
      </c>
      <c r="N36" s="31">
        <v>3888.5122000000001</v>
      </c>
      <c r="O36" s="31">
        <v>4259.6945999999998</v>
      </c>
      <c r="P36" s="31">
        <f t="shared" si="0"/>
        <v>124816.87285180329</v>
      </c>
      <c r="Q36" s="31">
        <f t="shared" si="1"/>
        <v>133045.38280012913</v>
      </c>
      <c r="R36" s="31">
        <f t="shared" si="2"/>
        <v>135755.7511284776</v>
      </c>
      <c r="S36" s="30">
        <v>43.799999</v>
      </c>
      <c r="T36" s="30">
        <v>43.799999</v>
      </c>
      <c r="U36" s="30">
        <v>54</v>
      </c>
    </row>
    <row r="37" spans="2:24" x14ac:dyDescent="0.25">
      <c r="B37" s="32" t="s">
        <v>99</v>
      </c>
      <c r="C37" s="21" t="s">
        <v>537</v>
      </c>
      <c r="D37" s="21" t="s">
        <v>353</v>
      </c>
      <c r="E37" s="21"/>
      <c r="F37" s="20">
        <v>148</v>
      </c>
      <c r="G37" s="31">
        <v>47.662999999999997</v>
      </c>
      <c r="H37" s="31">
        <v>47.631</v>
      </c>
      <c r="I37" s="31">
        <v>45.84</v>
      </c>
      <c r="J37" s="31">
        <v>87.058400000000006</v>
      </c>
      <c r="K37" s="31">
        <v>86.816900000000004</v>
      </c>
      <c r="L37" s="31">
        <v>87.023300000000006</v>
      </c>
      <c r="M37" s="31">
        <v>7609.2536</v>
      </c>
      <c r="N37" s="31">
        <v>9041.1154000000006</v>
      </c>
      <c r="O37" s="31">
        <v>10617.508</v>
      </c>
      <c r="P37" s="31">
        <f t="shared" ref="P37:P68" si="3">+M37*G37*J37/100</f>
        <v>315743.27830794873</v>
      </c>
      <c r="Q37" s="31">
        <f t="shared" ref="Q37:Q68" si="4">+N37*H37*K37/100</f>
        <v>373866.01280703058</v>
      </c>
      <c r="R37" s="31">
        <f t="shared" ref="R37:R68" si="5">+O37*I37*L37/100</f>
        <v>423548.11567644583</v>
      </c>
      <c r="S37" s="30">
        <v>22.4</v>
      </c>
      <c r="T37" s="30">
        <v>24.6</v>
      </c>
      <c r="U37" s="30">
        <v>23</v>
      </c>
    </row>
    <row r="38" spans="2:24" x14ac:dyDescent="0.25">
      <c r="B38" s="32" t="s">
        <v>536</v>
      </c>
      <c r="C38" s="21"/>
      <c r="D38" s="21"/>
      <c r="E38" s="21">
        <v>9</v>
      </c>
      <c r="F38" s="20">
        <v>830</v>
      </c>
      <c r="G38" s="31">
        <v>11.353</v>
      </c>
      <c r="H38" s="31">
        <v>10.481</v>
      </c>
      <c r="I38" s="31">
        <v>9.4260000000000002</v>
      </c>
      <c r="J38" s="31">
        <v>99.421400000000006</v>
      </c>
      <c r="K38" s="31">
        <v>99.4542</v>
      </c>
      <c r="L38" s="31">
        <v>99.481499999999997</v>
      </c>
      <c r="M38" s="31"/>
      <c r="N38" s="31"/>
      <c r="O38" s="31"/>
      <c r="P38" s="31">
        <f t="shared" si="3"/>
        <v>0</v>
      </c>
      <c r="Q38" s="31">
        <f t="shared" si="4"/>
        <v>0</v>
      </c>
      <c r="R38" s="31">
        <f t="shared" si="5"/>
        <v>0</v>
      </c>
      <c r="S38" s="30"/>
      <c r="T38" s="30"/>
      <c r="U38" s="30"/>
    </row>
    <row r="39" spans="2:24" x14ac:dyDescent="0.25">
      <c r="B39" s="32" t="s">
        <v>209</v>
      </c>
      <c r="C39" s="21" t="s">
        <v>535</v>
      </c>
      <c r="D39" s="21" t="s">
        <v>361</v>
      </c>
      <c r="E39" s="21"/>
      <c r="F39" s="20">
        <v>152</v>
      </c>
      <c r="G39" s="31">
        <v>18.007000000000001</v>
      </c>
      <c r="H39" s="31">
        <v>15.728999999999999</v>
      </c>
      <c r="I39" s="31">
        <v>15.04</v>
      </c>
      <c r="J39" s="31">
        <v>98.852400000000003</v>
      </c>
      <c r="K39" s="31">
        <v>99.197999999999993</v>
      </c>
      <c r="L39" s="31">
        <v>99.280799999999999</v>
      </c>
      <c r="M39" s="31">
        <v>14830.352000000001</v>
      </c>
      <c r="N39" s="31">
        <v>15776.447</v>
      </c>
      <c r="O39" s="31">
        <v>16635.02</v>
      </c>
      <c r="P39" s="31">
        <f t="shared" si="3"/>
        <v>263985.4809602272</v>
      </c>
      <c r="Q39" s="31">
        <f t="shared" si="4"/>
        <v>246157.59002939874</v>
      </c>
      <c r="R39" s="31">
        <f t="shared" si="5"/>
        <v>248391.3292798464</v>
      </c>
      <c r="S39" s="30">
        <v>92</v>
      </c>
      <c r="T39" s="30">
        <v>94.800003000000004</v>
      </c>
      <c r="U39" s="30">
        <v>95</v>
      </c>
    </row>
    <row r="40" spans="2:24" x14ac:dyDescent="0.25">
      <c r="B40" s="32" t="s">
        <v>55</v>
      </c>
      <c r="C40" s="21" t="s">
        <v>534</v>
      </c>
      <c r="D40" s="21" t="s">
        <v>823</v>
      </c>
      <c r="E40" s="21">
        <v>4</v>
      </c>
      <c r="F40" s="20">
        <v>156</v>
      </c>
      <c r="G40" s="31">
        <v>15.898</v>
      </c>
      <c r="H40" s="31">
        <v>13.968</v>
      </c>
      <c r="I40" s="31">
        <v>13.536</v>
      </c>
      <c r="J40" s="31">
        <v>97.207599999999999</v>
      </c>
      <c r="K40" s="31">
        <v>97.441699999999997</v>
      </c>
      <c r="L40" s="31">
        <v>97.714200000000005</v>
      </c>
      <c r="M40" s="31">
        <v>1229000</v>
      </c>
      <c r="N40" s="31">
        <v>1280000</v>
      </c>
      <c r="O40" s="31">
        <v>1318000</v>
      </c>
      <c r="P40" s="31">
        <f t="shared" si="3"/>
        <v>18993044.960792001</v>
      </c>
      <c r="Q40" s="31">
        <f t="shared" si="4"/>
        <v>17421640.519680001</v>
      </c>
      <c r="R40" s="31">
        <f t="shared" si="5"/>
        <v>17432651.039616</v>
      </c>
      <c r="S40" s="30">
        <v>83.199996999999996</v>
      </c>
      <c r="T40" s="30">
        <v>86</v>
      </c>
      <c r="U40" s="30">
        <v>93.400002000000001</v>
      </c>
    </row>
    <row r="41" spans="2:24" x14ac:dyDescent="0.25">
      <c r="B41" s="32" t="s">
        <v>533</v>
      </c>
      <c r="C41" s="18" t="s">
        <v>532</v>
      </c>
      <c r="D41" s="21" t="s">
        <v>366</v>
      </c>
      <c r="E41" s="21">
        <v>5</v>
      </c>
      <c r="F41" s="20">
        <v>344</v>
      </c>
      <c r="G41" s="31">
        <v>9.9740000000000002</v>
      </c>
      <c r="H41" s="31">
        <v>8.4459999999999997</v>
      </c>
      <c r="I41" s="31">
        <v>8.1649999999999991</v>
      </c>
      <c r="J41" s="31">
        <v>99.593699999999998</v>
      </c>
      <c r="K41" s="31">
        <v>99.619299999999996</v>
      </c>
      <c r="L41" s="31">
        <v>99.632400000000004</v>
      </c>
      <c r="M41" s="31">
        <v>6446.22</v>
      </c>
      <c r="N41" s="31">
        <v>6727.54</v>
      </c>
      <c r="O41" s="31">
        <v>6915.52</v>
      </c>
      <c r="P41" s="31">
        <f t="shared" si="3"/>
        <v>64033.369327188368</v>
      </c>
      <c r="Q41" s="31">
        <f t="shared" si="4"/>
        <v>56604.48604358812</v>
      </c>
      <c r="R41" s="31">
        <f t="shared" si="5"/>
        <v>56257.654648339201</v>
      </c>
      <c r="S41" s="30">
        <v>0</v>
      </c>
      <c r="T41" s="30">
        <v>0</v>
      </c>
      <c r="U41" s="30">
        <v>0</v>
      </c>
    </row>
    <row r="42" spans="2:24" x14ac:dyDescent="0.25">
      <c r="B42" s="32" t="s">
        <v>531</v>
      </c>
      <c r="C42" s="18" t="s">
        <v>530</v>
      </c>
      <c r="D42" s="21" t="s">
        <v>366</v>
      </c>
      <c r="E42" s="21">
        <v>6</v>
      </c>
      <c r="F42" s="20">
        <v>446</v>
      </c>
      <c r="G42" s="31">
        <v>10.897</v>
      </c>
      <c r="H42" s="31">
        <v>7.4909999999999997</v>
      </c>
      <c r="I42" s="31">
        <v>8.2799999999999994</v>
      </c>
      <c r="J42" s="31">
        <v>99.474000000000004</v>
      </c>
      <c r="K42" s="31">
        <v>99.491600000000005</v>
      </c>
      <c r="L42" s="31">
        <v>99.536600000000007</v>
      </c>
      <c r="M42" s="31">
        <v>422.98500000000001</v>
      </c>
      <c r="N42" s="31">
        <v>457.76319999999998</v>
      </c>
      <c r="O42" s="31">
        <v>512.95280000000002</v>
      </c>
      <c r="P42" s="31">
        <f t="shared" si="3"/>
        <v>4585.0227977133009</v>
      </c>
      <c r="Q42" s="31">
        <f t="shared" si="4"/>
        <v>3411.6705657969792</v>
      </c>
      <c r="R42" s="31">
        <f t="shared" si="5"/>
        <v>4227.5674312813444</v>
      </c>
      <c r="S42" s="30">
        <v>0</v>
      </c>
      <c r="T42" s="30">
        <v>0</v>
      </c>
      <c r="U42" s="30">
        <v>0</v>
      </c>
    </row>
    <row r="43" spans="2:24" x14ac:dyDescent="0.25">
      <c r="B43" s="32" t="s">
        <v>208</v>
      </c>
      <c r="C43" s="21" t="s">
        <v>529</v>
      </c>
      <c r="D43" s="21" t="s">
        <v>361</v>
      </c>
      <c r="E43" s="21"/>
      <c r="F43" s="20">
        <v>170</v>
      </c>
      <c r="G43" s="31">
        <v>23.969000000000001</v>
      </c>
      <c r="H43" s="31">
        <v>21.986999999999998</v>
      </c>
      <c r="I43" s="31">
        <v>20.605</v>
      </c>
      <c r="J43" s="31">
        <v>97.6023</v>
      </c>
      <c r="K43" s="31">
        <v>97.9529</v>
      </c>
      <c r="L43" s="31">
        <v>98.093100000000007</v>
      </c>
      <c r="M43" s="31">
        <v>37783.732000000004</v>
      </c>
      <c r="N43" s="31">
        <v>41085.633000000002</v>
      </c>
      <c r="O43" s="31">
        <v>44356.995999999999</v>
      </c>
      <c r="P43" s="31">
        <f t="shared" si="3"/>
        <v>883923.78345287114</v>
      </c>
      <c r="Q43" s="31">
        <f t="shared" si="4"/>
        <v>884857.33875376475</v>
      </c>
      <c r="R43" s="31">
        <f t="shared" si="5"/>
        <v>896547.29609370197</v>
      </c>
      <c r="S43" s="30">
        <v>80.199996999999996</v>
      </c>
      <c r="T43" s="30">
        <v>84.199996999999996</v>
      </c>
      <c r="U43" s="30">
        <v>92.599997999999999</v>
      </c>
      <c r="V43" s="23"/>
      <c r="W43" s="23"/>
      <c r="X43" s="23"/>
    </row>
    <row r="44" spans="2:24" x14ac:dyDescent="0.25">
      <c r="B44" s="32" t="s">
        <v>98</v>
      </c>
      <c r="C44" s="21" t="s">
        <v>528</v>
      </c>
      <c r="D44" s="21" t="s">
        <v>353</v>
      </c>
      <c r="E44" s="21"/>
      <c r="F44" s="20">
        <v>174</v>
      </c>
      <c r="G44" s="31">
        <v>33.252000000000002</v>
      </c>
      <c r="H44" s="31">
        <v>33.119</v>
      </c>
      <c r="I44" s="31">
        <v>32.746000000000002</v>
      </c>
      <c r="J44" s="31">
        <v>93.210999999999999</v>
      </c>
      <c r="K44" s="31">
        <v>94.235799999999998</v>
      </c>
      <c r="L44" s="31">
        <v>95.158500000000004</v>
      </c>
      <c r="M44" s="31">
        <v>507.38947999999999</v>
      </c>
      <c r="N44" s="31">
        <v>563.88423</v>
      </c>
      <c r="O44" s="31">
        <v>629.03505000000007</v>
      </c>
      <c r="P44" s="31">
        <f t="shared" si="3"/>
        <v>15726.294258359505</v>
      </c>
      <c r="Q44" s="31">
        <f t="shared" si="4"/>
        <v>17598.801219083725</v>
      </c>
      <c r="R44" s="31">
        <f t="shared" si="5"/>
        <v>19601.111095004475</v>
      </c>
      <c r="S44" s="30">
        <v>66.199996999999996</v>
      </c>
      <c r="T44" s="30">
        <v>77</v>
      </c>
      <c r="U44" s="30">
        <v>75.199996999999996</v>
      </c>
    </row>
    <row r="45" spans="2:24" x14ac:dyDescent="0.25">
      <c r="B45" s="32" t="s">
        <v>207</v>
      </c>
      <c r="C45" s="21" t="s">
        <v>527</v>
      </c>
      <c r="D45" s="21" t="s">
        <v>356</v>
      </c>
      <c r="E45" s="21"/>
      <c r="F45" s="20">
        <v>178</v>
      </c>
      <c r="G45" s="31">
        <v>35.951000000000001</v>
      </c>
      <c r="H45" s="31">
        <v>36.408999999999999</v>
      </c>
      <c r="I45" s="31">
        <v>34.744</v>
      </c>
      <c r="J45" s="31">
        <v>92.816900000000004</v>
      </c>
      <c r="K45" s="31">
        <v>92.340800000000002</v>
      </c>
      <c r="L45" s="31">
        <v>92.076599999999999</v>
      </c>
      <c r="M45" s="31">
        <v>2881.2562000000003</v>
      </c>
      <c r="N45" s="31">
        <v>3184.0606000000002</v>
      </c>
      <c r="O45" s="31">
        <v>3550.4332000000004</v>
      </c>
      <c r="P45" s="31">
        <f t="shared" si="3"/>
        <v>96143.496350711823</v>
      </c>
      <c r="Q45" s="31">
        <f t="shared" si="4"/>
        <v>107049.26959437745</v>
      </c>
      <c r="R45" s="31">
        <f t="shared" si="5"/>
        <v>113582.24190107924</v>
      </c>
      <c r="S45" s="30">
        <v>33</v>
      </c>
      <c r="T45" s="30">
        <v>44.400002000000001</v>
      </c>
      <c r="U45" s="30">
        <v>80.800003000000004</v>
      </c>
    </row>
    <row r="46" spans="2:24" x14ac:dyDescent="0.25">
      <c r="B46" s="32" t="s">
        <v>205</v>
      </c>
      <c r="C46" s="21" t="s">
        <v>526</v>
      </c>
      <c r="D46" s="21" t="s">
        <v>361</v>
      </c>
      <c r="E46" s="21"/>
      <c r="F46" s="20">
        <v>188</v>
      </c>
      <c r="G46" s="31">
        <v>21.434999999999999</v>
      </c>
      <c r="H46" s="31">
        <v>19.111999999999998</v>
      </c>
      <c r="I46" s="31">
        <v>16.643000000000001</v>
      </c>
      <c r="J46" s="31">
        <v>98.816800000000001</v>
      </c>
      <c r="K46" s="31">
        <v>98.952600000000004</v>
      </c>
      <c r="L46" s="31">
        <v>99.011200000000002</v>
      </c>
      <c r="M46" s="31">
        <v>3659.1852000000003</v>
      </c>
      <c r="N46" s="31">
        <v>4096.9502000000002</v>
      </c>
      <c r="O46" s="31">
        <v>4456.1872000000003</v>
      </c>
      <c r="P46" s="31">
        <f t="shared" si="3"/>
        <v>77506.596163496026</v>
      </c>
      <c r="Q46" s="31">
        <f t="shared" si="4"/>
        <v>77480.788467782593</v>
      </c>
      <c r="R46" s="31">
        <f t="shared" si="5"/>
        <v>73430.986738143809</v>
      </c>
      <c r="S46" s="30">
        <v>87</v>
      </c>
      <c r="T46" s="30">
        <v>90.199996999999996</v>
      </c>
      <c r="U46" s="30">
        <v>88.599997999999999</v>
      </c>
    </row>
    <row r="47" spans="2:24" x14ac:dyDescent="0.25">
      <c r="B47" s="32" t="s">
        <v>53</v>
      </c>
      <c r="C47" s="21" t="s">
        <v>525</v>
      </c>
      <c r="D47" s="21" t="s">
        <v>859</v>
      </c>
      <c r="E47" s="21"/>
      <c r="F47" s="20">
        <v>384</v>
      </c>
      <c r="G47" s="31">
        <v>37.616</v>
      </c>
      <c r="H47" s="31">
        <v>37.082999999999998</v>
      </c>
      <c r="I47" s="31">
        <v>35.127000000000002</v>
      </c>
      <c r="J47" s="31">
        <v>90.430899999999994</v>
      </c>
      <c r="K47" s="31">
        <v>90.78</v>
      </c>
      <c r="L47" s="31">
        <v>91.324200000000005</v>
      </c>
      <c r="M47" s="31">
        <v>15924.794</v>
      </c>
      <c r="N47" s="31">
        <v>18067.432000000001</v>
      </c>
      <c r="O47" s="31">
        <v>20141.476999999999</v>
      </c>
      <c r="P47" s="31">
        <f t="shared" si="3"/>
        <v>541705.55355680699</v>
      </c>
      <c r="Q47" s="31">
        <f t="shared" si="4"/>
        <v>608221.08050107677</v>
      </c>
      <c r="R47" s="31">
        <f t="shared" si="5"/>
        <v>646127.5392729711</v>
      </c>
      <c r="S47" s="30">
        <v>59</v>
      </c>
      <c r="T47" s="30">
        <v>70.800003000000004</v>
      </c>
      <c r="U47" s="30">
        <v>76.800003000000004</v>
      </c>
    </row>
    <row r="48" spans="2:24" x14ac:dyDescent="0.25">
      <c r="B48" s="32" t="s">
        <v>203</v>
      </c>
      <c r="C48" s="21" t="s">
        <v>524</v>
      </c>
      <c r="D48" s="21" t="s">
        <v>366</v>
      </c>
      <c r="E48" s="21"/>
      <c r="F48" s="20">
        <v>191</v>
      </c>
      <c r="G48" s="31">
        <v>10.468999999999999</v>
      </c>
      <c r="H48" s="31">
        <v>9.1920000000000002</v>
      </c>
      <c r="I48" s="31">
        <v>9.5559999999999992</v>
      </c>
      <c r="J48" s="31">
        <v>99.289400000000001</v>
      </c>
      <c r="K48" s="31">
        <v>99.3108</v>
      </c>
      <c r="L48" s="31">
        <v>99.380799999999994</v>
      </c>
      <c r="M48" s="31">
        <v>4558</v>
      </c>
      <c r="N48" s="31">
        <v>4437</v>
      </c>
      <c r="O48" s="31">
        <v>4436.8002000000006</v>
      </c>
      <c r="P48" s="31">
        <f t="shared" si="3"/>
        <v>47378.62000958799</v>
      </c>
      <c r="Q48" s="31">
        <f t="shared" si="4"/>
        <v>40503.814441632006</v>
      </c>
      <c r="R48" s="31">
        <f t="shared" si="5"/>
        <v>42135.533906892248</v>
      </c>
      <c r="S48" s="30">
        <v>91.800003000000004</v>
      </c>
      <c r="T48" s="30">
        <v>94.400002000000001</v>
      </c>
      <c r="U48" s="30">
        <v>96</v>
      </c>
    </row>
    <row r="49" spans="2:21" x14ac:dyDescent="0.25">
      <c r="B49" s="32" t="s">
        <v>202</v>
      </c>
      <c r="C49" s="21" t="s">
        <v>523</v>
      </c>
      <c r="D49" s="21" t="s">
        <v>361</v>
      </c>
      <c r="E49" s="21"/>
      <c r="F49" s="20">
        <v>192</v>
      </c>
      <c r="G49" s="31">
        <v>13.103999999999999</v>
      </c>
      <c r="H49" s="31">
        <v>12.047000000000001</v>
      </c>
      <c r="I49" s="31">
        <v>10.499000000000001</v>
      </c>
      <c r="J49" s="31">
        <v>99.041899999999998</v>
      </c>
      <c r="K49" s="31">
        <v>99.386300000000006</v>
      </c>
      <c r="L49" s="31">
        <v>99.488200000000006</v>
      </c>
      <c r="M49" s="31">
        <v>10989.04</v>
      </c>
      <c r="N49" s="31">
        <v>11136.124</v>
      </c>
      <c r="O49" s="31">
        <v>11201.531999999999</v>
      </c>
      <c r="P49" s="31">
        <f t="shared" si="3"/>
        <v>142620.71251768703</v>
      </c>
      <c r="Q49" s="31">
        <f t="shared" si="4"/>
        <v>133333.56501967358</v>
      </c>
      <c r="R49" s="31">
        <f t="shared" si="5"/>
        <v>117002.98266929277</v>
      </c>
      <c r="S49" s="30">
        <v>96.400002000000001</v>
      </c>
      <c r="T49" s="30">
        <v>90.599997999999999</v>
      </c>
      <c r="U49" s="30">
        <v>92.400002000000001</v>
      </c>
    </row>
    <row r="50" spans="2:21" x14ac:dyDescent="0.25">
      <c r="B50" s="32" t="s">
        <v>201</v>
      </c>
      <c r="C50" s="21" t="s">
        <v>522</v>
      </c>
      <c r="D50" s="21" t="s">
        <v>366</v>
      </c>
      <c r="E50" s="21"/>
      <c r="F50" s="20">
        <v>196</v>
      </c>
      <c r="G50" s="31">
        <v>14.007999999999999</v>
      </c>
      <c r="H50" s="31">
        <v>11.968999999999999</v>
      </c>
      <c r="I50" s="31">
        <v>11.513999999999999</v>
      </c>
      <c r="J50" s="31">
        <v>99.350300000000004</v>
      </c>
      <c r="K50" s="31">
        <v>99.417699999999996</v>
      </c>
      <c r="L50" s="31">
        <v>99.453299999999999</v>
      </c>
      <c r="M50" s="31">
        <v>753.697</v>
      </c>
      <c r="N50" s="31">
        <v>806.94240000000002</v>
      </c>
      <c r="O50" s="31">
        <v>853.66380000000004</v>
      </c>
      <c r="P50" s="31">
        <f t="shared" si="3"/>
        <v>10489.193630118727</v>
      </c>
      <c r="Q50" s="31">
        <f t="shared" si="4"/>
        <v>9602.053342051051</v>
      </c>
      <c r="R50" s="31">
        <f t="shared" si="5"/>
        <v>9775.3493855421766</v>
      </c>
      <c r="S50" s="30">
        <v>97.400002000000001</v>
      </c>
      <c r="T50" s="30">
        <v>97.599997999999999</v>
      </c>
      <c r="U50" s="30">
        <v>97.599997999999999</v>
      </c>
    </row>
    <row r="51" spans="2:21" x14ac:dyDescent="0.25">
      <c r="B51" s="32" t="s">
        <v>200</v>
      </c>
      <c r="C51" s="21" t="s">
        <v>521</v>
      </c>
      <c r="D51" s="21" t="s">
        <v>366</v>
      </c>
      <c r="E51" s="21"/>
      <c r="F51" s="20">
        <v>203</v>
      </c>
      <c r="G51" s="31">
        <v>8.6859999999999999</v>
      </c>
      <c r="H51" s="31">
        <v>8.9619999999999997</v>
      </c>
      <c r="I51" s="31">
        <v>10.564</v>
      </c>
      <c r="J51" s="31">
        <v>99.478899999999996</v>
      </c>
      <c r="K51" s="31">
        <v>99.610299999999995</v>
      </c>
      <c r="L51" s="31">
        <v>99.624399999999994</v>
      </c>
      <c r="M51" s="31">
        <v>10305.6</v>
      </c>
      <c r="N51" s="31">
        <v>10225.106</v>
      </c>
      <c r="O51" s="31">
        <v>10350.686</v>
      </c>
      <c r="P51" s="31">
        <f t="shared" si="3"/>
        <v>89047.98184482241</v>
      </c>
      <c r="Q51" s="31">
        <f t="shared" si="4"/>
        <v>91280.28902430911</v>
      </c>
      <c r="R51" s="31">
        <f t="shared" si="5"/>
        <v>108933.94841022856</v>
      </c>
      <c r="S51" s="30">
        <v>97.400002000000001</v>
      </c>
      <c r="T51" s="30">
        <v>97.800003000000004</v>
      </c>
      <c r="U51" s="30">
        <v>98.400002000000001</v>
      </c>
    </row>
    <row r="52" spans="2:21" x14ac:dyDescent="0.25">
      <c r="B52" s="32" t="s">
        <v>520</v>
      </c>
      <c r="C52" s="18" t="s">
        <v>519</v>
      </c>
      <c r="D52" s="21" t="s">
        <v>353</v>
      </c>
      <c r="E52" s="21"/>
      <c r="F52" s="20">
        <v>408</v>
      </c>
      <c r="G52" s="31">
        <v>18.140999999999998</v>
      </c>
      <c r="H52" s="31">
        <v>15.118</v>
      </c>
      <c r="I52" s="31">
        <v>13.811999999999999</v>
      </c>
      <c r="J52" s="31">
        <v>95.236199999999997</v>
      </c>
      <c r="K52" s="31">
        <v>95.011600000000001</v>
      </c>
      <c r="L52" s="31">
        <v>95.198899999999995</v>
      </c>
      <c r="M52" s="31">
        <v>22216.322</v>
      </c>
      <c r="N52" s="31">
        <v>23155.47</v>
      </c>
      <c r="O52" s="31">
        <v>23722.633999999998</v>
      </c>
      <c r="P52" s="31">
        <f t="shared" si="3"/>
        <v>383826.93064636341</v>
      </c>
      <c r="Q52" s="31">
        <f t="shared" si="4"/>
        <v>332601.78315687343</v>
      </c>
      <c r="R52" s="31">
        <f t="shared" si="5"/>
        <v>311925.87958198704</v>
      </c>
      <c r="S52" s="30">
        <v>46.599997999999999</v>
      </c>
      <c r="T52" s="30">
        <v>64</v>
      </c>
      <c r="U52" s="30">
        <v>89</v>
      </c>
    </row>
    <row r="53" spans="2:21" x14ac:dyDescent="0.25">
      <c r="B53" s="32" t="s">
        <v>198</v>
      </c>
      <c r="C53" s="21" t="s">
        <v>518</v>
      </c>
      <c r="D53" s="21" t="s">
        <v>353</v>
      </c>
      <c r="E53" s="21"/>
      <c r="F53" s="20">
        <v>180</v>
      </c>
      <c r="G53" s="31">
        <v>49.969000000000001</v>
      </c>
      <c r="H53" s="31">
        <v>48.323</v>
      </c>
      <c r="I53" s="31">
        <v>45.058</v>
      </c>
      <c r="J53" s="31">
        <v>87.243499999999997</v>
      </c>
      <c r="K53" s="31">
        <v>88.814700000000002</v>
      </c>
      <c r="L53" s="31">
        <v>88.337800000000001</v>
      </c>
      <c r="M53" s="31">
        <v>0</v>
      </c>
      <c r="N53" s="31">
        <v>0</v>
      </c>
      <c r="O53" s="31">
        <v>0</v>
      </c>
      <c r="P53" s="31">
        <f t="shared" si="3"/>
        <v>0</v>
      </c>
      <c r="Q53" s="31">
        <f t="shared" si="4"/>
        <v>0</v>
      </c>
      <c r="R53" s="31">
        <f t="shared" si="5"/>
        <v>0</v>
      </c>
      <c r="S53" s="30">
        <v>20.399999999999999</v>
      </c>
      <c r="T53" s="30">
        <v>40.599997999999999</v>
      </c>
      <c r="U53" s="30">
        <v>67.800003000000004</v>
      </c>
    </row>
    <row r="54" spans="2:21" x14ac:dyDescent="0.25">
      <c r="B54" s="32" t="s">
        <v>197</v>
      </c>
      <c r="C54" s="21" t="s">
        <v>517</v>
      </c>
      <c r="D54" s="21" t="s">
        <v>366</v>
      </c>
      <c r="E54" s="21"/>
      <c r="F54" s="20">
        <v>208</v>
      </c>
      <c r="G54" s="31">
        <v>12.648</v>
      </c>
      <c r="H54" s="31">
        <v>12.015000000000001</v>
      </c>
      <c r="I54" s="31">
        <v>11.545999999999999</v>
      </c>
      <c r="J54" s="31">
        <v>99.496799999999993</v>
      </c>
      <c r="K54" s="31">
        <v>99.538399999999996</v>
      </c>
      <c r="L54" s="31">
        <v>99.563900000000004</v>
      </c>
      <c r="M54" s="31">
        <v>5278.8662000000004</v>
      </c>
      <c r="N54" s="31">
        <v>5371.0064000000002</v>
      </c>
      <c r="O54" s="31">
        <v>5467.5158000000001</v>
      </c>
      <c r="P54" s="31">
        <f t="shared" si="3"/>
        <v>66431.127651921677</v>
      </c>
      <c r="Q54" s="31">
        <f t="shared" si="4"/>
        <v>64234.759221008069</v>
      </c>
      <c r="R54" s="31">
        <f t="shared" si="5"/>
        <v>62852.636491681718</v>
      </c>
      <c r="S54" s="30">
        <v>91.400002000000001</v>
      </c>
      <c r="T54" s="30">
        <v>96.599997999999999</v>
      </c>
      <c r="U54" s="30">
        <v>90</v>
      </c>
    </row>
    <row r="55" spans="2:21" x14ac:dyDescent="0.25">
      <c r="B55" s="32" t="s">
        <v>52</v>
      </c>
      <c r="C55" s="21" t="s">
        <v>516</v>
      </c>
      <c r="D55" s="21" t="s">
        <v>859</v>
      </c>
      <c r="E55" s="21"/>
      <c r="F55" s="20">
        <v>262</v>
      </c>
      <c r="G55" s="31">
        <v>34.594999999999999</v>
      </c>
      <c r="H55" s="31">
        <v>31.396999999999998</v>
      </c>
      <c r="I55" s="31">
        <v>28.687000000000001</v>
      </c>
      <c r="J55" s="31">
        <v>89.816299999999998</v>
      </c>
      <c r="K55" s="31">
        <v>90.561199999999999</v>
      </c>
      <c r="L55" s="31">
        <v>91.5047</v>
      </c>
      <c r="M55" s="31">
        <v>664.83659999999998</v>
      </c>
      <c r="N55" s="31">
        <v>761.52080000000001</v>
      </c>
      <c r="O55" s="31">
        <v>834.43580000000009</v>
      </c>
      <c r="P55" s="31">
        <f t="shared" si="3"/>
        <v>20657.768918560851</v>
      </c>
      <c r="Q55" s="31">
        <f t="shared" si="4"/>
        <v>21652.701639385246</v>
      </c>
      <c r="R55" s="31">
        <f t="shared" si="5"/>
        <v>21903.900772669349</v>
      </c>
      <c r="S55" s="30">
        <v>32</v>
      </c>
      <c r="T55" s="30">
        <v>58.599997999999999</v>
      </c>
      <c r="U55" s="30">
        <v>81.800003000000004</v>
      </c>
    </row>
    <row r="56" spans="2:21" x14ac:dyDescent="0.25">
      <c r="B56" s="32" t="s">
        <v>195</v>
      </c>
      <c r="C56" s="21" t="s">
        <v>515</v>
      </c>
      <c r="D56" s="21" t="s">
        <v>361</v>
      </c>
      <c r="E56" s="21"/>
      <c r="F56" s="20">
        <v>214</v>
      </c>
      <c r="G56" s="31">
        <v>25.824999999999999</v>
      </c>
      <c r="H56" s="31">
        <v>24.318000000000001</v>
      </c>
      <c r="I56" s="31">
        <v>22.719000000000001</v>
      </c>
      <c r="J56" s="31">
        <v>95.840199999999996</v>
      </c>
      <c r="K56" s="31">
        <v>96.491399999999999</v>
      </c>
      <c r="L56" s="31">
        <v>97.043800000000005</v>
      </c>
      <c r="M56" s="31">
        <v>8408.3365999999987</v>
      </c>
      <c r="N56" s="31">
        <v>9111.2494000000006</v>
      </c>
      <c r="O56" s="31">
        <v>9812.7489999999998</v>
      </c>
      <c r="P56" s="31">
        <f t="shared" si="3"/>
        <v>208112.48280947335</v>
      </c>
      <c r="Q56" s="31">
        <f t="shared" si="4"/>
        <v>213793.45041416783</v>
      </c>
      <c r="R56" s="31">
        <f t="shared" si="5"/>
        <v>216345.4150949746</v>
      </c>
      <c r="S56" s="30">
        <v>75.599997999999999</v>
      </c>
      <c r="T56" s="30">
        <v>78.400002000000001</v>
      </c>
      <c r="U56" s="30">
        <v>86</v>
      </c>
    </row>
    <row r="57" spans="2:21" x14ac:dyDescent="0.25">
      <c r="B57" s="32" t="s">
        <v>51</v>
      </c>
      <c r="C57" s="21" t="s">
        <v>514</v>
      </c>
      <c r="D57" s="21" t="s">
        <v>361</v>
      </c>
      <c r="E57" s="21"/>
      <c r="F57" s="20">
        <v>218</v>
      </c>
      <c r="G57" s="31">
        <v>25.588000000000001</v>
      </c>
      <c r="H57" s="31">
        <v>23.184999999999999</v>
      </c>
      <c r="I57" s="31">
        <v>20.989000000000001</v>
      </c>
      <c r="J57" s="31">
        <v>96.6751</v>
      </c>
      <c r="K57" s="31">
        <v>97.510499999999993</v>
      </c>
      <c r="L57" s="31">
        <v>97.892899999999997</v>
      </c>
      <c r="M57" s="31">
        <v>11785.353999999999</v>
      </c>
      <c r="N57" s="31">
        <v>12619.392</v>
      </c>
      <c r="O57" s="31">
        <v>13342.771000000001</v>
      </c>
      <c r="P57" s="31">
        <f t="shared" si="3"/>
        <v>291536.94874708413</v>
      </c>
      <c r="Q57" s="31">
        <f t="shared" si="4"/>
        <v>285296.80939536961</v>
      </c>
      <c r="R57" s="31">
        <f t="shared" si="5"/>
        <v>274150.45703724417</v>
      </c>
      <c r="S57" s="30">
        <v>81</v>
      </c>
      <c r="T57" s="30">
        <v>76.199996999999996</v>
      </c>
      <c r="U57" s="30">
        <v>75</v>
      </c>
    </row>
    <row r="58" spans="2:21" x14ac:dyDescent="0.25">
      <c r="B58" s="32" t="s">
        <v>194</v>
      </c>
      <c r="C58" s="21" t="s">
        <v>513</v>
      </c>
      <c r="D58" s="21" t="s">
        <v>356</v>
      </c>
      <c r="E58" s="21"/>
      <c r="F58" s="20">
        <v>818</v>
      </c>
      <c r="G58" s="31">
        <v>26.873000000000001</v>
      </c>
      <c r="H58" s="31">
        <v>25.739000000000001</v>
      </c>
      <c r="I58" s="31">
        <v>24.83</v>
      </c>
      <c r="J58" s="31">
        <v>95.203800000000001</v>
      </c>
      <c r="K58" s="31">
        <v>96.049899999999994</v>
      </c>
      <c r="L58" s="31">
        <v>96.522099999999995</v>
      </c>
      <c r="M58" s="31">
        <v>66335.861999999994</v>
      </c>
      <c r="N58" s="31">
        <v>72920.165999999997</v>
      </c>
      <c r="O58" s="31">
        <v>80068.718999999997</v>
      </c>
      <c r="P58" s="31">
        <f t="shared" si="3"/>
        <v>1697144.4662462941</v>
      </c>
      <c r="Q58" s="31">
        <f t="shared" si="4"/>
        <v>1802753.0357512243</v>
      </c>
      <c r="R58" s="31">
        <f t="shared" si="5"/>
        <v>1918961.9440137518</v>
      </c>
      <c r="S58" s="30">
        <v>91</v>
      </c>
      <c r="T58" s="30">
        <v>97.800003000000004</v>
      </c>
      <c r="U58" s="30">
        <v>97.599997999999999</v>
      </c>
    </row>
    <row r="59" spans="2:21" x14ac:dyDescent="0.25">
      <c r="B59" s="32" t="s">
        <v>49</v>
      </c>
      <c r="C59" s="21" t="s">
        <v>512</v>
      </c>
      <c r="D59" s="21" t="s">
        <v>356</v>
      </c>
      <c r="E59" s="21"/>
      <c r="F59" s="20">
        <v>222</v>
      </c>
      <c r="G59" s="31">
        <v>27.427</v>
      </c>
      <c r="H59" s="31">
        <v>21.856000000000002</v>
      </c>
      <c r="I59" s="31">
        <v>20.376999999999999</v>
      </c>
      <c r="J59" s="31">
        <v>96.798400000000001</v>
      </c>
      <c r="K59" s="31">
        <v>97.359899999999996</v>
      </c>
      <c r="L59" s="31">
        <v>97.846100000000007</v>
      </c>
      <c r="M59" s="31">
        <v>5829.3094000000001</v>
      </c>
      <c r="N59" s="31">
        <v>5993.5334000000003</v>
      </c>
      <c r="O59" s="31">
        <v>6108.8008</v>
      </c>
      <c r="P59" s="31">
        <f t="shared" si="3"/>
        <v>154761.73582105577</v>
      </c>
      <c r="Q59" s="31">
        <f t="shared" si="4"/>
        <v>127536.27581358746</v>
      </c>
      <c r="R59" s="31">
        <f t="shared" si="5"/>
        <v>121797.87999039344</v>
      </c>
      <c r="S59" s="30">
        <v>97</v>
      </c>
      <c r="T59" s="30">
        <v>91.199996999999996</v>
      </c>
      <c r="U59" s="30">
        <v>94.599997999999999</v>
      </c>
    </row>
    <row r="60" spans="2:21" x14ac:dyDescent="0.25">
      <c r="B60" s="32" t="s">
        <v>193</v>
      </c>
      <c r="C60" s="21" t="s">
        <v>511</v>
      </c>
      <c r="D60" s="21" t="s">
        <v>366</v>
      </c>
      <c r="E60" s="21"/>
      <c r="F60" s="20">
        <v>226</v>
      </c>
      <c r="G60" s="31">
        <v>42.381999999999998</v>
      </c>
      <c r="H60" s="31">
        <v>39.125</v>
      </c>
      <c r="I60" s="31">
        <v>38.027000000000001</v>
      </c>
      <c r="J60" s="31">
        <v>88.935699999999997</v>
      </c>
      <c r="K60" s="31">
        <v>89.453900000000004</v>
      </c>
      <c r="L60" s="31">
        <v>90.054400000000001</v>
      </c>
      <c r="M60" s="31">
        <v>482.49520000000001</v>
      </c>
      <c r="N60" s="31">
        <v>560.53740000000005</v>
      </c>
      <c r="O60" s="31">
        <v>642.37619999999993</v>
      </c>
      <c r="P60" s="31">
        <f t="shared" si="3"/>
        <v>18186.560515358804</v>
      </c>
      <c r="Q60" s="31">
        <f t="shared" si="4"/>
        <v>19618.157865742727</v>
      </c>
      <c r="R60" s="31">
        <f t="shared" si="5"/>
        <v>21998.164417688022</v>
      </c>
      <c r="S60" s="30">
        <v>70.800003000000004</v>
      </c>
      <c r="T60" s="30">
        <v>33</v>
      </c>
      <c r="U60" s="30">
        <v>33</v>
      </c>
    </row>
    <row r="61" spans="2:21" x14ac:dyDescent="0.25">
      <c r="B61" s="32" t="s">
        <v>96</v>
      </c>
      <c r="C61" s="21" t="s">
        <v>510</v>
      </c>
      <c r="D61" s="21" t="s">
        <v>353</v>
      </c>
      <c r="E61" s="21"/>
      <c r="F61" s="20">
        <v>232</v>
      </c>
      <c r="G61" s="31">
        <v>38.073</v>
      </c>
      <c r="H61" s="31">
        <v>38.531999999999996</v>
      </c>
      <c r="I61" s="31">
        <v>37.283000000000001</v>
      </c>
      <c r="J61" s="31">
        <v>92.739900000000006</v>
      </c>
      <c r="K61" s="31">
        <v>93.825900000000004</v>
      </c>
      <c r="L61" s="31">
        <v>94.573899999999995</v>
      </c>
      <c r="M61" s="31">
        <v>3347.5333999999998</v>
      </c>
      <c r="N61" s="31">
        <v>3972.6672000000003</v>
      </c>
      <c r="O61" s="31">
        <v>4777.0797999999995</v>
      </c>
      <c r="P61" s="31">
        <f t="shared" si="3"/>
        <v>118197.59528612756</v>
      </c>
      <c r="Q61" s="31">
        <f t="shared" si="4"/>
        <v>143623.82054872575</v>
      </c>
      <c r="R61" s="31">
        <f t="shared" si="5"/>
        <v>168439.77230042248</v>
      </c>
      <c r="S61" s="30">
        <v>75.199996999999996</v>
      </c>
      <c r="T61" s="30">
        <v>91.400002000000001</v>
      </c>
      <c r="U61" s="30">
        <v>97.199996999999996</v>
      </c>
    </row>
    <row r="62" spans="2:21" x14ac:dyDescent="0.25">
      <c r="B62" s="32" t="s">
        <v>192</v>
      </c>
      <c r="C62" s="21" t="s">
        <v>509</v>
      </c>
      <c r="D62" s="21" t="s">
        <v>366</v>
      </c>
      <c r="E62" s="21"/>
      <c r="F62" s="20">
        <v>233</v>
      </c>
      <c r="G62" s="31">
        <v>9.1430000000000007</v>
      </c>
      <c r="H62" s="31">
        <v>9.7729999999999997</v>
      </c>
      <c r="I62" s="31">
        <v>11.766</v>
      </c>
      <c r="J62" s="31">
        <v>98.979900000000001</v>
      </c>
      <c r="K62" s="31">
        <v>99.247699999999995</v>
      </c>
      <c r="L62" s="31">
        <v>99.231700000000004</v>
      </c>
      <c r="M62" s="31">
        <v>1403.5699</v>
      </c>
      <c r="N62" s="31">
        <v>1358.954</v>
      </c>
      <c r="O62" s="31">
        <v>1342.4678000000001</v>
      </c>
      <c r="P62" s="31">
        <f t="shared" si="3"/>
        <v>12701.931798984266</v>
      </c>
      <c r="Q62" s="31">
        <f t="shared" si="4"/>
        <v>13181.144046863832</v>
      </c>
      <c r="R62" s="31">
        <f t="shared" si="5"/>
        <v>15674.119491656335</v>
      </c>
      <c r="S62" s="30">
        <v>87</v>
      </c>
      <c r="T62" s="30">
        <v>93.800003000000004</v>
      </c>
      <c r="U62" s="30">
        <v>95.199996999999996</v>
      </c>
    </row>
    <row r="63" spans="2:21" x14ac:dyDescent="0.25">
      <c r="B63" s="32" t="s">
        <v>95</v>
      </c>
      <c r="C63" s="21" t="s">
        <v>508</v>
      </c>
      <c r="D63" s="21" t="s">
        <v>353</v>
      </c>
      <c r="E63" s="21"/>
      <c r="F63" s="20">
        <v>231</v>
      </c>
      <c r="G63" s="31">
        <v>44.116999999999997</v>
      </c>
      <c r="H63" s="31">
        <v>40.563000000000002</v>
      </c>
      <c r="I63" s="31">
        <v>38.558</v>
      </c>
      <c r="J63" s="31">
        <v>89.952500000000001</v>
      </c>
      <c r="K63" s="31">
        <v>91.204899999999995</v>
      </c>
      <c r="L63" s="31">
        <v>92.098799999999997</v>
      </c>
      <c r="M63" s="31">
        <v>60393.26</v>
      </c>
      <c r="N63" s="31">
        <v>69094.490999999995</v>
      </c>
      <c r="O63" s="31">
        <v>78694.577999999994</v>
      </c>
      <c r="P63" s="31">
        <f t="shared" si="3"/>
        <v>2396666.9307885752</v>
      </c>
      <c r="Q63" s="31">
        <f t="shared" si="4"/>
        <v>2556181.343962979</v>
      </c>
      <c r="R63" s="31">
        <f t="shared" si="5"/>
        <v>2794558.9893141417</v>
      </c>
      <c r="S63" s="30">
        <v>54.400002000000001</v>
      </c>
      <c r="T63" s="30">
        <v>60.799999</v>
      </c>
      <c r="U63" s="30">
        <v>74.800003000000004</v>
      </c>
    </row>
    <row r="64" spans="2:21" x14ac:dyDescent="0.25">
      <c r="B64" s="32" t="s">
        <v>191</v>
      </c>
      <c r="C64" s="21" t="s">
        <v>507</v>
      </c>
      <c r="D64" s="21" t="s">
        <v>356</v>
      </c>
      <c r="E64" s="21"/>
      <c r="F64" s="20">
        <v>242</v>
      </c>
      <c r="G64" s="31">
        <v>25.523</v>
      </c>
      <c r="H64" s="31">
        <v>23.146000000000001</v>
      </c>
      <c r="I64" s="31">
        <v>21.11</v>
      </c>
      <c r="J64" s="31">
        <v>97.56</v>
      </c>
      <c r="K64" s="31">
        <v>97.840299999999999</v>
      </c>
      <c r="L64" s="31">
        <v>98.045299999999997</v>
      </c>
      <c r="M64" s="31">
        <v>782.50199999999995</v>
      </c>
      <c r="N64" s="31">
        <v>812.4688000000001</v>
      </c>
      <c r="O64" s="31">
        <v>838.66780000000006</v>
      </c>
      <c r="P64" s="31">
        <f t="shared" si="3"/>
        <v>19484.4866614776</v>
      </c>
      <c r="Q64" s="31">
        <f t="shared" si="4"/>
        <v>18399.262559560855</v>
      </c>
      <c r="R64" s="31">
        <f t="shared" si="5"/>
        <v>17358.211750437877</v>
      </c>
      <c r="S64" s="30">
        <v>91.199996999999996</v>
      </c>
      <c r="T64" s="30">
        <v>92.599997999999999</v>
      </c>
      <c r="U64" s="30">
        <v>98.199996999999996</v>
      </c>
    </row>
    <row r="65" spans="2:21" x14ac:dyDescent="0.25">
      <c r="B65" s="32" t="s">
        <v>190</v>
      </c>
      <c r="C65" s="21" t="s">
        <v>506</v>
      </c>
      <c r="D65" s="21" t="s">
        <v>366</v>
      </c>
      <c r="E65" s="21">
        <v>10</v>
      </c>
      <c r="F65" s="20">
        <v>246</v>
      </c>
      <c r="G65" s="31">
        <v>11.497</v>
      </c>
      <c r="H65" s="31">
        <v>10.962</v>
      </c>
      <c r="I65" s="31">
        <v>11.127000000000001</v>
      </c>
      <c r="J65" s="31">
        <v>99.614199999999997</v>
      </c>
      <c r="K65" s="31">
        <v>99.672300000000007</v>
      </c>
      <c r="L65" s="31">
        <v>99.678200000000004</v>
      </c>
      <c r="M65" s="31">
        <v>5138.2563</v>
      </c>
      <c r="N65" s="31">
        <v>5201.1858000000002</v>
      </c>
      <c r="O65" s="31">
        <v>5290.5763999999999</v>
      </c>
      <c r="P65" s="31">
        <f t="shared" si="3"/>
        <v>58846.623134016314</v>
      </c>
      <c r="Q65" s="31">
        <f t="shared" si="4"/>
        <v>56828.559277930333</v>
      </c>
      <c r="R65" s="31">
        <f t="shared" si="5"/>
        <v>58678.805594886195</v>
      </c>
      <c r="S65" s="30">
        <v>99</v>
      </c>
      <c r="T65" s="30">
        <v>98.400002000000001</v>
      </c>
      <c r="U65" s="30">
        <v>98.199996999999996</v>
      </c>
    </row>
    <row r="66" spans="2:21" x14ac:dyDescent="0.25">
      <c r="B66" s="32" t="s">
        <v>189</v>
      </c>
      <c r="C66" s="21" t="s">
        <v>505</v>
      </c>
      <c r="D66" s="21" t="s">
        <v>366</v>
      </c>
      <c r="E66" s="21"/>
      <c r="F66" s="20">
        <v>250</v>
      </c>
      <c r="G66" s="31">
        <v>12.653</v>
      </c>
      <c r="H66" s="31">
        <v>12.858000000000001</v>
      </c>
      <c r="I66" s="31">
        <v>12.21</v>
      </c>
      <c r="J66" s="31">
        <v>99.526600000000002</v>
      </c>
      <c r="K66" s="31">
        <v>99.5822</v>
      </c>
      <c r="L66" s="31">
        <v>99.609499999999997</v>
      </c>
      <c r="M66" s="31">
        <v>58219.703000000001</v>
      </c>
      <c r="N66" s="31">
        <v>59672.502999999997</v>
      </c>
      <c r="O66" s="31">
        <v>61811.591</v>
      </c>
      <c r="P66" s="31">
        <f t="shared" si="3"/>
        <v>733166.58248665289</v>
      </c>
      <c r="Q66" s="31">
        <f t="shared" si="4"/>
        <v>764063.39350994781</v>
      </c>
      <c r="R66" s="31">
        <f t="shared" si="5"/>
        <v>751772.34636054048</v>
      </c>
      <c r="S66" s="30">
        <v>96.599997999999999</v>
      </c>
      <c r="T66" s="30">
        <v>97.400002000000001</v>
      </c>
      <c r="U66" s="30">
        <v>98.199996999999996</v>
      </c>
    </row>
    <row r="67" spans="2:21" x14ac:dyDescent="0.25">
      <c r="B67" s="32" t="s">
        <v>504</v>
      </c>
      <c r="C67" s="18" t="s">
        <v>503</v>
      </c>
      <c r="D67" s="21"/>
      <c r="E67" s="21"/>
      <c r="F67" s="20">
        <v>254</v>
      </c>
      <c r="G67" s="31">
        <v>30</v>
      </c>
      <c r="H67" s="31">
        <v>28.094000000000001</v>
      </c>
      <c r="I67" s="31">
        <v>25.228999999999999</v>
      </c>
      <c r="J67" s="31">
        <v>98.363600000000005</v>
      </c>
      <c r="K67" s="31">
        <v>98.519199999999998</v>
      </c>
      <c r="L67" s="31">
        <v>98.663499999999999</v>
      </c>
      <c r="M67" s="31"/>
      <c r="N67" s="31"/>
      <c r="O67" s="31"/>
      <c r="P67" s="31">
        <f t="shared" si="3"/>
        <v>0</v>
      </c>
      <c r="Q67" s="31">
        <f t="shared" si="4"/>
        <v>0</v>
      </c>
      <c r="R67" s="31">
        <f t="shared" si="5"/>
        <v>0</v>
      </c>
      <c r="S67" s="30"/>
      <c r="T67" s="30"/>
      <c r="U67" s="30"/>
    </row>
    <row r="68" spans="2:21" x14ac:dyDescent="0.25">
      <c r="B68" s="32" t="s">
        <v>502</v>
      </c>
      <c r="C68" s="21" t="s">
        <v>501</v>
      </c>
      <c r="D68" s="21"/>
      <c r="E68" s="21"/>
      <c r="F68" s="20">
        <v>258</v>
      </c>
      <c r="G68" s="31">
        <v>21.372</v>
      </c>
      <c r="H68" s="31">
        <v>19.167000000000002</v>
      </c>
      <c r="I68" s="31">
        <v>18.074999999999999</v>
      </c>
      <c r="J68" s="31">
        <v>98.962500000000006</v>
      </c>
      <c r="K68" s="31">
        <v>99.125200000000007</v>
      </c>
      <c r="L68" s="31">
        <v>99.210400000000007</v>
      </c>
      <c r="M68" s="31"/>
      <c r="N68" s="31"/>
      <c r="O68" s="31"/>
      <c r="P68" s="31">
        <f t="shared" si="3"/>
        <v>0</v>
      </c>
      <c r="Q68" s="31">
        <f t="shared" si="4"/>
        <v>0</v>
      </c>
      <c r="R68" s="31">
        <f t="shared" si="5"/>
        <v>0</v>
      </c>
      <c r="S68" s="30"/>
      <c r="T68" s="30"/>
      <c r="U68" s="30"/>
    </row>
    <row r="69" spans="2:21" x14ac:dyDescent="0.25">
      <c r="B69" s="32" t="s">
        <v>188</v>
      </c>
      <c r="C69" s="21" t="s">
        <v>500</v>
      </c>
      <c r="D69" s="21" t="s">
        <v>361</v>
      </c>
      <c r="E69" s="21"/>
      <c r="F69" s="20">
        <v>266</v>
      </c>
      <c r="G69" s="31">
        <v>33.335999999999999</v>
      </c>
      <c r="H69" s="31">
        <v>29.861000000000001</v>
      </c>
      <c r="I69" s="31">
        <v>27.483000000000001</v>
      </c>
      <c r="J69" s="31">
        <v>94.314400000000006</v>
      </c>
      <c r="K69" s="31">
        <v>94.180599999999998</v>
      </c>
      <c r="L69" s="31">
        <v>94.888099999999994</v>
      </c>
      <c r="M69" s="31">
        <v>1145.23</v>
      </c>
      <c r="N69" s="31">
        <v>1288.5119999999999</v>
      </c>
      <c r="O69" s="31">
        <v>1421.8938000000001</v>
      </c>
      <c r="P69" s="31">
        <f t="shared" ref="P69:P100" si="6">+M69*G69*J69/100</f>
        <v>36006.773748808315</v>
      </c>
      <c r="Q69" s="31">
        <f t="shared" ref="Q69:Q100" si="7">+N69*H69*K69/100</f>
        <v>36237.169541918585</v>
      </c>
      <c r="R69" s="31">
        <f t="shared" ref="R69:R100" si="8">+O69*I69*L69/100</f>
        <v>37080.283761855258</v>
      </c>
      <c r="S69" s="30">
        <v>56.200001</v>
      </c>
      <c r="T69" s="30">
        <v>45</v>
      </c>
      <c r="U69" s="30">
        <v>45</v>
      </c>
    </row>
    <row r="70" spans="2:21" x14ac:dyDescent="0.25">
      <c r="B70" s="32" t="s">
        <v>187</v>
      </c>
      <c r="C70" s="21" t="s">
        <v>499</v>
      </c>
      <c r="D70" s="21" t="s">
        <v>353</v>
      </c>
      <c r="E70" s="21"/>
      <c r="F70" s="20">
        <v>270</v>
      </c>
      <c r="G70" s="31">
        <v>42.238999999999997</v>
      </c>
      <c r="H70" s="31">
        <v>39.676000000000002</v>
      </c>
      <c r="I70" s="31">
        <v>36.993000000000002</v>
      </c>
      <c r="J70" s="31">
        <v>90.515900000000002</v>
      </c>
      <c r="K70" s="31">
        <v>91.483000000000004</v>
      </c>
      <c r="L70" s="31">
        <v>92.351500000000001</v>
      </c>
      <c r="M70" s="31">
        <v>1170.2139999999999</v>
      </c>
      <c r="N70" s="31">
        <v>1391.4541999999999</v>
      </c>
      <c r="O70" s="31">
        <v>1615.5886</v>
      </c>
      <c r="P70" s="31">
        <f t="shared" si="6"/>
        <v>44740.804735524209</v>
      </c>
      <c r="Q70" s="31">
        <f t="shared" si="7"/>
        <v>50505.327960605333</v>
      </c>
      <c r="R70" s="31">
        <f t="shared" si="8"/>
        <v>55194.307177231509</v>
      </c>
      <c r="S70" s="30">
        <v>94.599997999999999</v>
      </c>
      <c r="T70" s="30">
        <v>90.400002000000001</v>
      </c>
      <c r="U70" s="30">
        <v>94</v>
      </c>
    </row>
    <row r="71" spans="2:21" x14ac:dyDescent="0.25">
      <c r="B71" s="32" t="s">
        <v>48</v>
      </c>
      <c r="C71" s="21" t="s">
        <v>498</v>
      </c>
      <c r="D71" s="21" t="s">
        <v>356</v>
      </c>
      <c r="E71" s="21"/>
      <c r="F71" s="20">
        <v>268</v>
      </c>
      <c r="G71" s="31">
        <v>12.715</v>
      </c>
      <c r="H71" s="31">
        <v>11.927</v>
      </c>
      <c r="I71" s="31">
        <v>12.116</v>
      </c>
      <c r="J71" s="31">
        <v>96.275300000000001</v>
      </c>
      <c r="K71" s="31">
        <v>96.549199999999999</v>
      </c>
      <c r="L71" s="31">
        <v>96.549199999999999</v>
      </c>
      <c r="M71" s="31">
        <v>4930.0934000000007</v>
      </c>
      <c r="N71" s="31">
        <v>4630.2370000000001</v>
      </c>
      <c r="O71" s="31">
        <v>4360.1207999999997</v>
      </c>
      <c r="P71" s="31">
        <f t="shared" si="6"/>
        <v>60351.267014520505</v>
      </c>
      <c r="Q71" s="31">
        <f t="shared" si="7"/>
        <v>53319.13803419091</v>
      </c>
      <c r="R71" s="31">
        <f t="shared" si="8"/>
        <v>51004.261780369488</v>
      </c>
      <c r="S71" s="30">
        <v>79.800003000000004</v>
      </c>
      <c r="T71" s="30">
        <v>81</v>
      </c>
      <c r="U71" s="30">
        <v>89.800003000000004</v>
      </c>
    </row>
    <row r="72" spans="2:21" x14ac:dyDescent="0.25">
      <c r="B72" s="32" t="s">
        <v>186</v>
      </c>
      <c r="C72" s="21" t="s">
        <v>497</v>
      </c>
      <c r="D72" s="21" t="s">
        <v>366</v>
      </c>
      <c r="E72" s="21"/>
      <c r="F72" s="20">
        <v>276</v>
      </c>
      <c r="G72" s="31">
        <v>9.5030000000000001</v>
      </c>
      <c r="H72" s="31">
        <v>8.8149999999999995</v>
      </c>
      <c r="I72" s="31">
        <v>8.1359999999999992</v>
      </c>
      <c r="J72" s="31">
        <v>99.516000000000005</v>
      </c>
      <c r="K72" s="31">
        <v>99.568799999999996</v>
      </c>
      <c r="L72" s="31">
        <v>99.590199999999996</v>
      </c>
      <c r="M72" s="31">
        <v>81951.8</v>
      </c>
      <c r="N72" s="31">
        <v>82421.649999999994</v>
      </c>
      <c r="O72" s="31">
        <v>82220.459000000003</v>
      </c>
      <c r="P72" s="31">
        <f t="shared" si="6"/>
        <v>775018.62169586425</v>
      </c>
      <c r="Q72" s="31">
        <f t="shared" si="7"/>
        <v>723413.97475543793</v>
      </c>
      <c r="R72" s="31">
        <f t="shared" si="8"/>
        <v>666204.31513217045</v>
      </c>
      <c r="S72" s="30">
        <v>87</v>
      </c>
      <c r="T72" s="30">
        <v>92.400002000000001</v>
      </c>
      <c r="U72" s="30">
        <v>93</v>
      </c>
    </row>
    <row r="73" spans="2:21" x14ac:dyDescent="0.25">
      <c r="B73" s="32" t="s">
        <v>93</v>
      </c>
      <c r="C73" s="21" t="s">
        <v>496</v>
      </c>
      <c r="D73" s="21" t="s">
        <v>859</v>
      </c>
      <c r="E73" s="21"/>
      <c r="F73" s="20">
        <v>288</v>
      </c>
      <c r="G73" s="31">
        <v>35.402999999999999</v>
      </c>
      <c r="H73" s="31">
        <v>33.695</v>
      </c>
      <c r="I73" s="31">
        <v>32.506999999999998</v>
      </c>
      <c r="J73" s="31">
        <v>93.149100000000004</v>
      </c>
      <c r="K73" s="31">
        <v>92.965000000000003</v>
      </c>
      <c r="L73" s="31">
        <v>92.664100000000005</v>
      </c>
      <c r="M73" s="31">
        <v>18156.451000000001</v>
      </c>
      <c r="N73" s="31">
        <v>20478.647000000001</v>
      </c>
      <c r="O73" s="31">
        <v>22873.531999999999</v>
      </c>
      <c r="P73" s="31">
        <f t="shared" si="6"/>
        <v>598755.74043690681</v>
      </c>
      <c r="Q73" s="31">
        <f t="shared" si="7"/>
        <v>641484.54011471733</v>
      </c>
      <c r="R73" s="31">
        <f t="shared" si="8"/>
        <v>689003.827263352</v>
      </c>
      <c r="S73" s="30">
        <v>73.599997999999999</v>
      </c>
      <c r="T73" s="30">
        <v>82</v>
      </c>
      <c r="U73" s="30">
        <v>88.599997999999999</v>
      </c>
    </row>
    <row r="74" spans="2:21" x14ac:dyDescent="0.25">
      <c r="B74" s="32" t="s">
        <v>185</v>
      </c>
      <c r="C74" s="21" t="s">
        <v>495</v>
      </c>
      <c r="D74" s="21" t="s">
        <v>366</v>
      </c>
      <c r="E74" s="21"/>
      <c r="F74" s="20">
        <v>300</v>
      </c>
      <c r="G74" s="31">
        <v>9.673</v>
      </c>
      <c r="H74" s="31">
        <v>9.4350000000000005</v>
      </c>
      <c r="I74" s="31">
        <v>9.65</v>
      </c>
      <c r="J74" s="31">
        <v>99.352000000000004</v>
      </c>
      <c r="K74" s="31">
        <v>99.595699999999994</v>
      </c>
      <c r="L74" s="31">
        <v>99.615200000000002</v>
      </c>
      <c r="M74" s="31">
        <v>10767.6</v>
      </c>
      <c r="N74" s="31">
        <v>10988.06</v>
      </c>
      <c r="O74" s="31">
        <v>11193.121999999999</v>
      </c>
      <c r="P74" s="31">
        <f t="shared" si="6"/>
        <v>103480.070433696</v>
      </c>
      <c r="Q74" s="31">
        <f t="shared" si="7"/>
        <v>103253.1988047177</v>
      </c>
      <c r="R74" s="31">
        <f t="shared" si="8"/>
        <v>107597.9908621496</v>
      </c>
      <c r="S74" s="30">
        <v>89.400002000000001</v>
      </c>
      <c r="T74" s="30">
        <v>92.199996999999996</v>
      </c>
      <c r="U74" s="30">
        <v>98.199996999999996</v>
      </c>
    </row>
    <row r="75" spans="2:21" x14ac:dyDescent="0.25">
      <c r="B75" s="32" t="s">
        <v>184</v>
      </c>
      <c r="C75" s="21" t="s">
        <v>494</v>
      </c>
      <c r="D75" s="21" t="s">
        <v>361</v>
      </c>
      <c r="E75" s="21"/>
      <c r="F75" s="20">
        <v>308</v>
      </c>
      <c r="G75" s="31">
        <v>20.716000000000001</v>
      </c>
      <c r="H75" s="31">
        <v>18.89</v>
      </c>
      <c r="I75" s="31">
        <v>19.411999999999999</v>
      </c>
      <c r="J75" s="31">
        <v>97.980800000000002</v>
      </c>
      <c r="K75" s="31">
        <v>98.4542</v>
      </c>
      <c r="L75" s="31">
        <v>98.660499999999999</v>
      </c>
      <c r="M75" s="31">
        <v>100.77</v>
      </c>
      <c r="N75" s="31">
        <v>101.6682</v>
      </c>
      <c r="O75" s="31">
        <v>103.19199999999999</v>
      </c>
      <c r="P75" s="31">
        <f t="shared" si="6"/>
        <v>2045.39948374656</v>
      </c>
      <c r="Q75" s="31">
        <f t="shared" si="7"/>
        <v>1890.8250188975162</v>
      </c>
      <c r="R75" s="31">
        <f t="shared" si="8"/>
        <v>1976.3307342219198</v>
      </c>
      <c r="S75" s="30">
        <v>91</v>
      </c>
      <c r="T75" s="30">
        <v>94.199996999999996</v>
      </c>
      <c r="U75" s="30">
        <v>96.800003000000004</v>
      </c>
    </row>
    <row r="76" spans="2:21" x14ac:dyDescent="0.25">
      <c r="B76" s="32" t="s">
        <v>493</v>
      </c>
      <c r="C76" s="21" t="s">
        <v>492</v>
      </c>
      <c r="D76" s="21"/>
      <c r="E76" s="21"/>
      <c r="F76" s="20">
        <v>312</v>
      </c>
      <c r="G76" s="31">
        <v>17.41</v>
      </c>
      <c r="H76" s="31">
        <v>15.648999999999999</v>
      </c>
      <c r="I76" s="31">
        <v>14.452</v>
      </c>
      <c r="J76" s="31">
        <v>99.1708</v>
      </c>
      <c r="K76" s="31">
        <v>99.270099999999999</v>
      </c>
      <c r="L76" s="31">
        <v>99.324399999999997</v>
      </c>
      <c r="M76" s="31"/>
      <c r="N76" s="31"/>
      <c r="O76" s="31"/>
      <c r="P76" s="31">
        <f t="shared" si="6"/>
        <v>0</v>
      </c>
      <c r="Q76" s="31">
        <f t="shared" si="7"/>
        <v>0</v>
      </c>
      <c r="R76" s="31">
        <f t="shared" si="8"/>
        <v>0</v>
      </c>
      <c r="S76" s="30"/>
      <c r="T76" s="30"/>
      <c r="U76" s="30"/>
    </row>
    <row r="77" spans="2:21" x14ac:dyDescent="0.25">
      <c r="B77" s="32" t="s">
        <v>491</v>
      </c>
      <c r="C77" s="21" t="s">
        <v>490</v>
      </c>
      <c r="D77" s="21"/>
      <c r="E77" s="21"/>
      <c r="F77" s="20">
        <v>316</v>
      </c>
      <c r="G77" s="31">
        <v>23.898</v>
      </c>
      <c r="H77" s="31">
        <v>20.661999999999999</v>
      </c>
      <c r="I77" s="31">
        <v>18.459</v>
      </c>
      <c r="J77" s="31">
        <v>98.868200000000002</v>
      </c>
      <c r="K77" s="31">
        <v>98.994299999999996</v>
      </c>
      <c r="L77" s="31">
        <v>99.095699999999994</v>
      </c>
      <c r="M77" s="31"/>
      <c r="N77" s="31"/>
      <c r="O77" s="31"/>
      <c r="P77" s="31">
        <f t="shared" si="6"/>
        <v>0</v>
      </c>
      <c r="Q77" s="31">
        <f t="shared" si="7"/>
        <v>0</v>
      </c>
      <c r="R77" s="31">
        <f t="shared" si="8"/>
        <v>0</v>
      </c>
      <c r="S77" s="30"/>
      <c r="T77" s="30"/>
      <c r="U77" s="30"/>
    </row>
    <row r="78" spans="2:21" x14ac:dyDescent="0.25">
      <c r="B78" s="32" t="s">
        <v>47</v>
      </c>
      <c r="C78" s="21" t="s">
        <v>489</v>
      </c>
      <c r="D78" s="21" t="s">
        <v>356</v>
      </c>
      <c r="E78" s="21"/>
      <c r="F78" s="20">
        <v>320</v>
      </c>
      <c r="G78" s="31">
        <v>37.332999999999998</v>
      </c>
      <c r="H78" s="31">
        <v>35.776000000000003</v>
      </c>
      <c r="I78" s="31">
        <v>33.25</v>
      </c>
      <c r="J78" s="31">
        <v>95.449100000000001</v>
      </c>
      <c r="K78" s="31">
        <v>96.137500000000003</v>
      </c>
      <c r="L78" s="31">
        <v>96.988299999999995</v>
      </c>
      <c r="M78" s="31">
        <v>10480.451999999999</v>
      </c>
      <c r="N78" s="31">
        <v>11803.614</v>
      </c>
      <c r="O78" s="31">
        <v>13361.031999999999</v>
      </c>
      <c r="P78" s="31">
        <f t="shared" si="6"/>
        <v>373460.55760509131</v>
      </c>
      <c r="Q78" s="31">
        <f t="shared" si="7"/>
        <v>405975.29406532802</v>
      </c>
      <c r="R78" s="31">
        <f t="shared" si="8"/>
        <v>430874.70682526194</v>
      </c>
      <c r="S78" s="30">
        <v>74.199996999999996</v>
      </c>
      <c r="T78" s="30">
        <v>83.400002000000001</v>
      </c>
      <c r="U78" s="30">
        <v>91.400002000000001</v>
      </c>
    </row>
    <row r="79" spans="2:21" x14ac:dyDescent="0.25">
      <c r="B79" s="32" t="s">
        <v>92</v>
      </c>
      <c r="C79" s="21" t="s">
        <v>488</v>
      </c>
      <c r="D79" s="21" t="s">
        <v>353</v>
      </c>
      <c r="E79" s="21"/>
      <c r="F79" s="20">
        <v>324</v>
      </c>
      <c r="G79" s="31">
        <v>43.496000000000002</v>
      </c>
      <c r="H79" s="31">
        <v>41.566000000000003</v>
      </c>
      <c r="I79" s="31">
        <v>39.880000000000003</v>
      </c>
      <c r="J79" s="31">
        <v>87.613500000000002</v>
      </c>
      <c r="K79" s="31">
        <v>89.010199999999998</v>
      </c>
      <c r="L79" s="31">
        <v>90.173400000000001</v>
      </c>
      <c r="M79" s="31">
        <v>7869.1628000000001</v>
      </c>
      <c r="N79" s="31">
        <v>8708.9989999999998</v>
      </c>
      <c r="O79" s="31">
        <v>9629.9002</v>
      </c>
      <c r="P79" s="31">
        <f t="shared" si="6"/>
        <v>299880.95151954389</v>
      </c>
      <c r="Q79" s="31">
        <f t="shared" si="7"/>
        <v>322215.36848800827</v>
      </c>
      <c r="R79" s="31">
        <f t="shared" si="8"/>
        <v>346302.3040666384</v>
      </c>
      <c r="S79" s="30">
        <v>49.599997999999999</v>
      </c>
      <c r="T79" s="30">
        <v>53.799999</v>
      </c>
      <c r="U79" s="30">
        <v>57.400002000000001</v>
      </c>
    </row>
    <row r="80" spans="2:21" x14ac:dyDescent="0.25">
      <c r="B80" s="32" t="s">
        <v>183</v>
      </c>
      <c r="C80" s="21" t="s">
        <v>487</v>
      </c>
      <c r="D80" s="21" t="s">
        <v>353</v>
      </c>
      <c r="E80" s="21"/>
      <c r="F80" s="20">
        <v>624</v>
      </c>
      <c r="G80" s="31">
        <v>43.466000000000001</v>
      </c>
      <c r="H80" s="31">
        <v>42.604999999999997</v>
      </c>
      <c r="I80" s="31">
        <v>41.356999999999999</v>
      </c>
      <c r="J80" s="31">
        <v>87.055599999999998</v>
      </c>
      <c r="K80" s="31">
        <v>87.930999999999997</v>
      </c>
      <c r="L80" s="31">
        <v>88.607799999999997</v>
      </c>
      <c r="M80" s="31">
        <v>1220.2413999999999</v>
      </c>
      <c r="N80" s="31">
        <v>1369.7063999999998</v>
      </c>
      <c r="O80" s="31">
        <v>1541.3526000000002</v>
      </c>
      <c r="P80" s="31">
        <f t="shared" si="6"/>
        <v>46173.43073344497</v>
      </c>
      <c r="Q80" s="31">
        <f t="shared" si="7"/>
        <v>51313.314355951305</v>
      </c>
      <c r="R80" s="31">
        <f t="shared" si="8"/>
        <v>56483.679623804499</v>
      </c>
      <c r="S80" s="30">
        <v>52</v>
      </c>
      <c r="T80" s="30">
        <v>56.599997999999999</v>
      </c>
      <c r="U80" s="30">
        <v>68</v>
      </c>
    </row>
    <row r="81" spans="2:24" x14ac:dyDescent="0.25">
      <c r="B81" s="32" t="s">
        <v>46</v>
      </c>
      <c r="C81" s="21" t="s">
        <v>486</v>
      </c>
      <c r="D81" s="21" t="s">
        <v>859</v>
      </c>
      <c r="E81" s="21"/>
      <c r="F81" s="20">
        <v>328</v>
      </c>
      <c r="G81" s="31">
        <v>24.155999999999999</v>
      </c>
      <c r="H81" s="31">
        <v>21.331</v>
      </c>
      <c r="I81" s="31">
        <v>18.042999999999999</v>
      </c>
      <c r="J81" s="31">
        <v>94.272800000000004</v>
      </c>
      <c r="K81" s="31">
        <v>95.046800000000005</v>
      </c>
      <c r="L81" s="31">
        <v>95.764300000000006</v>
      </c>
      <c r="M81" s="31">
        <v>758.07119999999998</v>
      </c>
      <c r="N81" s="31">
        <v>759.15440000000001</v>
      </c>
      <c r="O81" s="31">
        <v>763.62840000000006</v>
      </c>
      <c r="P81" s="31">
        <f t="shared" si="6"/>
        <v>17263.20488121884</v>
      </c>
      <c r="Q81" s="31">
        <f t="shared" si="7"/>
        <v>15391.424949612998</v>
      </c>
      <c r="R81" s="31">
        <f t="shared" si="8"/>
        <v>13194.546239351632</v>
      </c>
      <c r="S81" s="30">
        <v>86</v>
      </c>
      <c r="T81" s="30">
        <v>89</v>
      </c>
      <c r="U81" s="30">
        <v>94.199996999999996</v>
      </c>
    </row>
    <row r="82" spans="2:24" x14ac:dyDescent="0.25">
      <c r="B82" s="32" t="s">
        <v>90</v>
      </c>
      <c r="C82" s="21" t="s">
        <v>485</v>
      </c>
      <c r="D82" s="21" t="s">
        <v>353</v>
      </c>
      <c r="E82" s="21"/>
      <c r="F82" s="20">
        <v>332</v>
      </c>
      <c r="G82" s="31">
        <v>32.692999999999998</v>
      </c>
      <c r="H82" s="31">
        <v>29.768999999999998</v>
      </c>
      <c r="I82" s="31">
        <v>27.852</v>
      </c>
      <c r="J82" s="31">
        <v>92.601100000000002</v>
      </c>
      <c r="K82" s="31">
        <v>93.049400000000006</v>
      </c>
      <c r="L82" s="31">
        <v>93.762</v>
      </c>
      <c r="M82" s="31">
        <v>8175.482</v>
      </c>
      <c r="N82" s="31">
        <v>8953.3328000000001</v>
      </c>
      <c r="O82" s="31">
        <v>9720.7093999999997</v>
      </c>
      <c r="P82" s="31">
        <f t="shared" si="6"/>
        <v>247505.17667343924</v>
      </c>
      <c r="Q82" s="31">
        <f t="shared" si="7"/>
        <v>248006.20732605286</v>
      </c>
      <c r="R82" s="31">
        <f t="shared" si="8"/>
        <v>253852.36226453504</v>
      </c>
      <c r="S82" s="30">
        <v>43.599997999999999</v>
      </c>
      <c r="T82" s="30">
        <v>53</v>
      </c>
      <c r="U82" s="30">
        <v>59</v>
      </c>
    </row>
    <row r="83" spans="2:24" x14ac:dyDescent="0.25">
      <c r="B83" s="32" t="s">
        <v>45</v>
      </c>
      <c r="C83" s="21" t="s">
        <v>484</v>
      </c>
      <c r="D83" s="21" t="s">
        <v>356</v>
      </c>
      <c r="E83" s="21"/>
      <c r="F83" s="20">
        <v>340</v>
      </c>
      <c r="G83" s="31">
        <v>33.438000000000002</v>
      </c>
      <c r="H83" s="31">
        <v>30.056000000000001</v>
      </c>
      <c r="I83" s="31">
        <v>27.748000000000001</v>
      </c>
      <c r="J83" s="31">
        <v>96.461200000000005</v>
      </c>
      <c r="K83" s="31">
        <v>96.838399999999993</v>
      </c>
      <c r="L83" s="31">
        <v>97.188900000000004</v>
      </c>
      <c r="M83" s="31">
        <v>5846.5312000000004</v>
      </c>
      <c r="N83" s="31">
        <v>6491.2547999999997</v>
      </c>
      <c r="O83" s="31">
        <v>7176.7407999999996</v>
      </c>
      <c r="P83" s="31">
        <f t="shared" si="6"/>
        <v>188578.08683792094</v>
      </c>
      <c r="Q83" s="31">
        <f t="shared" si="7"/>
        <v>188932.83617543761</v>
      </c>
      <c r="R83" s="31">
        <f t="shared" si="8"/>
        <v>193542.17345167208</v>
      </c>
      <c r="S83" s="30">
        <v>95</v>
      </c>
      <c r="T83" s="30">
        <v>94.199996999999996</v>
      </c>
      <c r="U83" s="30">
        <v>95.599997999999999</v>
      </c>
    </row>
    <row r="84" spans="2:24" x14ac:dyDescent="0.25">
      <c r="B84" s="32" t="s">
        <v>182</v>
      </c>
      <c r="C84" s="21" t="s">
        <v>483</v>
      </c>
      <c r="D84" s="21" t="s">
        <v>366</v>
      </c>
      <c r="E84" s="21"/>
      <c r="F84" s="20">
        <v>348</v>
      </c>
      <c r="G84" s="31">
        <v>9.7590000000000003</v>
      </c>
      <c r="H84" s="31">
        <v>9.4420000000000002</v>
      </c>
      <c r="I84" s="31">
        <v>9.8580000000000005</v>
      </c>
      <c r="J84" s="31">
        <v>99.039699999999996</v>
      </c>
      <c r="K84" s="31">
        <v>99.283100000000005</v>
      </c>
      <c r="L84" s="31">
        <v>99.319199999999995</v>
      </c>
      <c r="M84" s="31">
        <v>10286.958000000001</v>
      </c>
      <c r="N84" s="31">
        <v>10158.771000000001</v>
      </c>
      <c r="O84" s="31">
        <v>10054.938</v>
      </c>
      <c r="P84" s="31">
        <f t="shared" si="6"/>
        <v>99426.373888759452</v>
      </c>
      <c r="Q84" s="31">
        <f t="shared" si="7"/>
        <v>95231.471640958858</v>
      </c>
      <c r="R84" s="31">
        <f t="shared" si="8"/>
        <v>98446.759095502362</v>
      </c>
      <c r="S84" s="30">
        <v>99</v>
      </c>
      <c r="T84" s="30">
        <v>99</v>
      </c>
      <c r="U84" s="30">
        <v>99</v>
      </c>
    </row>
    <row r="85" spans="2:24" x14ac:dyDescent="0.25">
      <c r="B85" s="32" t="s">
        <v>181</v>
      </c>
      <c r="C85" s="21" t="s">
        <v>482</v>
      </c>
      <c r="D85" s="21" t="s">
        <v>366</v>
      </c>
      <c r="E85" s="21"/>
      <c r="F85" s="20">
        <v>352</v>
      </c>
      <c r="G85" s="31">
        <v>15.500999999999999</v>
      </c>
      <c r="H85" s="31">
        <v>14.425000000000001</v>
      </c>
      <c r="I85" s="31">
        <v>14.738</v>
      </c>
      <c r="J85" s="31">
        <v>99.650499999999994</v>
      </c>
      <c r="K85" s="31">
        <v>99.689400000000006</v>
      </c>
      <c r="L85" s="31">
        <v>99.706199999999995</v>
      </c>
      <c r="M85" s="31">
        <v>272.3</v>
      </c>
      <c r="N85" s="31">
        <v>287.12885</v>
      </c>
      <c r="O85" s="31">
        <v>309.71479999999997</v>
      </c>
      <c r="P85" s="31">
        <f t="shared" si="6"/>
        <v>4206.1701765614998</v>
      </c>
      <c r="Q85" s="31">
        <f t="shared" si="7"/>
        <v>4128.9691258981575</v>
      </c>
      <c r="R85" s="31">
        <f t="shared" si="8"/>
        <v>4551.1659959895878</v>
      </c>
      <c r="S85" s="30">
        <v>99</v>
      </c>
      <c r="T85" s="30">
        <v>96.199996999999996</v>
      </c>
      <c r="U85" s="30">
        <v>96.599997999999999</v>
      </c>
    </row>
    <row r="86" spans="2:24" x14ac:dyDescent="0.25">
      <c r="B86" s="32" t="s">
        <v>44</v>
      </c>
      <c r="C86" s="21" t="s">
        <v>481</v>
      </c>
      <c r="D86" s="21" t="s">
        <v>859</v>
      </c>
      <c r="E86" s="21"/>
      <c r="F86" s="20">
        <v>356</v>
      </c>
      <c r="G86" s="31">
        <v>27.742999999999999</v>
      </c>
      <c r="H86" s="31">
        <v>25.411999999999999</v>
      </c>
      <c r="I86" s="31">
        <v>22.966000000000001</v>
      </c>
      <c r="J86" s="31">
        <v>93.026600000000002</v>
      </c>
      <c r="K86" s="31">
        <v>93.8262</v>
      </c>
      <c r="L86" s="31">
        <v>94.544899999999998</v>
      </c>
      <c r="M86" s="31">
        <v>965500</v>
      </c>
      <c r="N86" s="31">
        <v>1048000</v>
      </c>
      <c r="O86" s="31">
        <v>1125000</v>
      </c>
      <c r="P86" s="31">
        <f t="shared" si="6"/>
        <v>24917980.885489002</v>
      </c>
      <c r="Q86" s="31">
        <f t="shared" si="7"/>
        <v>24987583.413312003</v>
      </c>
      <c r="R86" s="31">
        <f t="shared" si="8"/>
        <v>24427329.450749997</v>
      </c>
      <c r="S86" s="30">
        <v>64.400002000000001</v>
      </c>
      <c r="T86" s="30">
        <v>60.400002000000001</v>
      </c>
      <c r="U86" s="30">
        <v>66.199996999999996</v>
      </c>
    </row>
    <row r="87" spans="2:24" x14ac:dyDescent="0.25">
      <c r="B87" s="32" t="s">
        <v>43</v>
      </c>
      <c r="C87" s="21" t="s">
        <v>480</v>
      </c>
      <c r="D87" s="21" t="s">
        <v>823</v>
      </c>
      <c r="E87" s="21"/>
      <c r="F87" s="20">
        <v>360</v>
      </c>
      <c r="G87" s="31">
        <v>21.991</v>
      </c>
      <c r="H87" s="31">
        <v>20.706</v>
      </c>
      <c r="I87" s="31">
        <v>18.756</v>
      </c>
      <c r="J87" s="31">
        <v>95.536000000000001</v>
      </c>
      <c r="K87" s="31">
        <v>96.582300000000004</v>
      </c>
      <c r="L87" s="31">
        <v>97.341700000000003</v>
      </c>
      <c r="M87" s="31">
        <v>197000</v>
      </c>
      <c r="N87" s="31">
        <v>210900</v>
      </c>
      <c r="O87" s="31">
        <v>224600</v>
      </c>
      <c r="P87" s="31">
        <f t="shared" si="6"/>
        <v>4138836.3867199998</v>
      </c>
      <c r="Q87" s="31">
        <f t="shared" si="7"/>
        <v>4217648.0159141989</v>
      </c>
      <c r="R87" s="31">
        <f t="shared" si="8"/>
        <v>4100614.1179991998</v>
      </c>
      <c r="S87" s="30">
        <v>71.599997999999999</v>
      </c>
      <c r="T87" s="30">
        <v>70.800003000000004</v>
      </c>
      <c r="U87" s="30">
        <v>75.599997999999999</v>
      </c>
    </row>
    <row r="88" spans="2:24" x14ac:dyDescent="0.25">
      <c r="B88" s="32" t="s">
        <v>180</v>
      </c>
      <c r="C88" s="21" t="s">
        <v>479</v>
      </c>
      <c r="D88" s="21" t="s">
        <v>361</v>
      </c>
      <c r="E88" s="21"/>
      <c r="F88" s="20">
        <v>364</v>
      </c>
      <c r="G88" s="31">
        <v>20.608000000000001</v>
      </c>
      <c r="H88" s="31">
        <v>19.945</v>
      </c>
      <c r="I88" s="31">
        <v>18.940000000000001</v>
      </c>
      <c r="J88" s="31">
        <v>95.6404</v>
      </c>
      <c r="K88" s="31">
        <v>96.494200000000006</v>
      </c>
      <c r="L88" s="31">
        <v>97.092100000000002</v>
      </c>
      <c r="M88" s="31">
        <v>60875.754999999997</v>
      </c>
      <c r="N88" s="31">
        <v>66008.826000000001</v>
      </c>
      <c r="O88" s="31">
        <v>71013.252999999997</v>
      </c>
      <c r="P88" s="31">
        <f t="shared" si="6"/>
        <v>1199835.1755760922</v>
      </c>
      <c r="Q88" s="31">
        <f t="shared" si="7"/>
        <v>1270390.5636900451</v>
      </c>
      <c r="R88" s="31">
        <f t="shared" si="8"/>
        <v>1305880.0181872863</v>
      </c>
      <c r="S88" s="30">
        <v>98.800003000000004</v>
      </c>
      <c r="T88" s="30">
        <v>98.199996999999996</v>
      </c>
      <c r="U88" s="30">
        <v>98</v>
      </c>
    </row>
    <row r="89" spans="2:24" x14ac:dyDescent="0.25">
      <c r="B89" s="32" t="s">
        <v>42</v>
      </c>
      <c r="C89" s="21" t="s">
        <v>478</v>
      </c>
      <c r="D89" s="21" t="s">
        <v>356</v>
      </c>
      <c r="E89" s="21"/>
      <c r="F89" s="20">
        <v>368</v>
      </c>
      <c r="G89" s="31">
        <v>37.627000000000002</v>
      </c>
      <c r="H89" s="31">
        <v>34.113</v>
      </c>
      <c r="I89" s="31">
        <v>31.585000000000001</v>
      </c>
      <c r="J89" s="31">
        <v>95.624200000000002</v>
      </c>
      <c r="K89" s="31">
        <v>96.3506</v>
      </c>
      <c r="L89" s="31">
        <v>96.681299999999993</v>
      </c>
      <c r="M89" s="31">
        <v>22953.375</v>
      </c>
      <c r="N89" s="31">
        <v>26421.871999999999</v>
      </c>
      <c r="O89" s="31">
        <v>29966.483</v>
      </c>
      <c r="P89" s="31">
        <f t="shared" si="6"/>
        <v>825874.31624265236</v>
      </c>
      <c r="Q89" s="31">
        <f t="shared" si="7"/>
        <v>868436.20734885323</v>
      </c>
      <c r="R89" s="31">
        <f t="shared" si="8"/>
        <v>915080.15660632611</v>
      </c>
      <c r="S89" s="30">
        <v>77.800003000000004</v>
      </c>
      <c r="T89" s="30">
        <v>73</v>
      </c>
      <c r="U89" s="30">
        <v>65</v>
      </c>
    </row>
    <row r="90" spans="2:24" x14ac:dyDescent="0.25">
      <c r="B90" s="32" t="s">
        <v>179</v>
      </c>
      <c r="C90" s="21" t="s">
        <v>477</v>
      </c>
      <c r="D90" s="21" t="s">
        <v>366</v>
      </c>
      <c r="E90" s="21"/>
      <c r="F90" s="20">
        <v>372</v>
      </c>
      <c r="G90" s="31">
        <v>14.144</v>
      </c>
      <c r="H90" s="31">
        <v>15.209</v>
      </c>
      <c r="I90" s="31">
        <v>15.645</v>
      </c>
      <c r="J90" s="31">
        <v>99.371600000000001</v>
      </c>
      <c r="K90" s="31">
        <v>99.460599999999999</v>
      </c>
      <c r="L90" s="31">
        <v>99.552999999999997</v>
      </c>
      <c r="M90" s="31">
        <v>3677.72</v>
      </c>
      <c r="N90" s="31">
        <v>3933.56</v>
      </c>
      <c r="O90" s="31">
        <v>4330.585</v>
      </c>
      <c r="P90" s="31">
        <f t="shared" si="6"/>
        <v>51690.792631162883</v>
      </c>
      <c r="Q90" s="31">
        <f t="shared" si="7"/>
        <v>59502.815217268231</v>
      </c>
      <c r="R90" s="31">
        <f t="shared" si="8"/>
        <v>67449.15087460725</v>
      </c>
      <c r="S90" s="30">
        <v>78.599997999999999</v>
      </c>
      <c r="T90" s="30">
        <v>85.599997999999999</v>
      </c>
      <c r="U90" s="30">
        <v>91.800003000000004</v>
      </c>
    </row>
    <row r="91" spans="2:24" x14ac:dyDescent="0.25">
      <c r="B91" s="32" t="s">
        <v>178</v>
      </c>
      <c r="C91" s="21" t="s">
        <v>476</v>
      </c>
      <c r="D91" s="21" t="s">
        <v>366</v>
      </c>
      <c r="E91" s="21"/>
      <c r="F91" s="20">
        <v>376</v>
      </c>
      <c r="G91" s="31">
        <v>21.462</v>
      </c>
      <c r="H91" s="31">
        <v>21.059000000000001</v>
      </c>
      <c r="I91" s="31">
        <v>20.027999999999999</v>
      </c>
      <c r="J91" s="31">
        <v>99.410899999999998</v>
      </c>
      <c r="K91" s="31">
        <v>99.490600000000001</v>
      </c>
      <c r="L91" s="31">
        <v>99.525599999999997</v>
      </c>
      <c r="M91" s="31">
        <v>5833.8</v>
      </c>
      <c r="N91" s="31">
        <v>6559.34</v>
      </c>
      <c r="O91" s="31">
        <v>7182.88</v>
      </c>
      <c r="P91" s="31">
        <f t="shared" si="6"/>
        <v>124467.4328531004</v>
      </c>
      <c r="Q91" s="31">
        <f t="shared" si="7"/>
        <v>137429.49083944038</v>
      </c>
      <c r="R91" s="31">
        <f t="shared" si="8"/>
        <v>143176.25486928382</v>
      </c>
      <c r="S91" s="30">
        <v>95.400002000000001</v>
      </c>
      <c r="T91" s="30">
        <v>95.800003000000004</v>
      </c>
      <c r="U91" s="30">
        <v>93</v>
      </c>
    </row>
    <row r="92" spans="2:24" x14ac:dyDescent="0.25">
      <c r="B92" s="32" t="s">
        <v>177</v>
      </c>
      <c r="C92" s="21" t="s">
        <v>475</v>
      </c>
      <c r="D92" s="21" t="s">
        <v>366</v>
      </c>
      <c r="E92" s="21"/>
      <c r="F92" s="20">
        <v>380</v>
      </c>
      <c r="G92" s="31">
        <v>9.1989999999999998</v>
      </c>
      <c r="H92" s="31">
        <v>9.1780000000000008</v>
      </c>
      <c r="I92" s="31">
        <v>9.2579999999999991</v>
      </c>
      <c r="J92" s="31">
        <v>99.435699999999997</v>
      </c>
      <c r="K92" s="31">
        <v>99.577600000000004</v>
      </c>
      <c r="L92" s="31">
        <v>99.614099999999993</v>
      </c>
      <c r="M92" s="31">
        <v>56887.040000000001</v>
      </c>
      <c r="N92" s="31">
        <v>57373.33</v>
      </c>
      <c r="O92" s="31">
        <v>59395.446000000004</v>
      </c>
      <c r="P92" s="31">
        <f t="shared" si="6"/>
        <v>520350.8771597427</v>
      </c>
      <c r="Q92" s="31">
        <f t="shared" si="7"/>
        <v>524348.18082634639</v>
      </c>
      <c r="R92" s="31">
        <f t="shared" si="8"/>
        <v>547761.04042023653</v>
      </c>
      <c r="S92" s="30">
        <v>95.199996999999996</v>
      </c>
      <c r="T92" s="30">
        <v>92.599997999999999</v>
      </c>
      <c r="U92" s="30">
        <v>96</v>
      </c>
    </row>
    <row r="93" spans="2:24" x14ac:dyDescent="0.25">
      <c r="B93" s="32" t="s">
        <v>176</v>
      </c>
      <c r="C93" s="21" t="s">
        <v>474</v>
      </c>
      <c r="D93" s="21" t="s">
        <v>361</v>
      </c>
      <c r="E93" s="21"/>
      <c r="F93" s="20">
        <v>388</v>
      </c>
      <c r="G93" s="31">
        <v>23.08</v>
      </c>
      <c r="H93" s="31">
        <v>20.991</v>
      </c>
      <c r="I93" s="31">
        <v>19.460999999999999</v>
      </c>
      <c r="J93" s="31">
        <v>97.3553</v>
      </c>
      <c r="K93" s="31">
        <v>97.4114</v>
      </c>
      <c r="L93" s="31">
        <v>97.665599999999998</v>
      </c>
      <c r="M93" s="31">
        <v>2531.0122999999999</v>
      </c>
      <c r="N93" s="31">
        <v>2615.0945000000002</v>
      </c>
      <c r="O93" s="31">
        <v>2675.2232999999997</v>
      </c>
      <c r="P93" s="31">
        <f t="shared" si="6"/>
        <v>56870.842176559847</v>
      </c>
      <c r="Q93" s="31">
        <f t="shared" si="7"/>
        <v>53472.476837759044</v>
      </c>
      <c r="R93" s="31">
        <f t="shared" si="8"/>
        <v>50847.173159449485</v>
      </c>
      <c r="S93" s="30">
        <v>88.199996999999996</v>
      </c>
      <c r="T93" s="30">
        <v>84.599997999999999</v>
      </c>
      <c r="U93" s="30">
        <v>87</v>
      </c>
      <c r="V93" s="23"/>
      <c r="W93" s="23"/>
      <c r="X93" s="23"/>
    </row>
    <row r="94" spans="2:24" x14ac:dyDescent="0.25">
      <c r="B94" s="32" t="s">
        <v>175</v>
      </c>
      <c r="C94" s="21" t="s">
        <v>473</v>
      </c>
      <c r="D94" s="21" t="s">
        <v>366</v>
      </c>
      <c r="E94" s="21"/>
      <c r="F94" s="20">
        <v>392</v>
      </c>
      <c r="G94" s="31">
        <v>9.4480000000000004</v>
      </c>
      <c r="H94" s="31">
        <v>8.9239999999999995</v>
      </c>
      <c r="I94" s="31">
        <v>8.2010000000000005</v>
      </c>
      <c r="J94" s="31">
        <v>99.624200000000002</v>
      </c>
      <c r="K94" s="31">
        <v>99.6965</v>
      </c>
      <c r="L94" s="31">
        <v>99.683999999999997</v>
      </c>
      <c r="M94" s="31">
        <v>126100</v>
      </c>
      <c r="N94" s="31">
        <v>127400</v>
      </c>
      <c r="O94" s="31">
        <v>127700</v>
      </c>
      <c r="P94" s="31">
        <f t="shared" si="6"/>
        <v>1186915.5458576002</v>
      </c>
      <c r="Q94" s="31">
        <f t="shared" si="7"/>
        <v>1133467.0550839999</v>
      </c>
      <c r="R94" s="31">
        <f t="shared" si="8"/>
        <v>1043958.334068</v>
      </c>
      <c r="S94" s="30">
        <v>79.599997999999999</v>
      </c>
      <c r="T94" s="30">
        <v>94.400002000000001</v>
      </c>
      <c r="U94" s="30">
        <v>98</v>
      </c>
    </row>
    <row r="95" spans="2:24" x14ac:dyDescent="0.25">
      <c r="B95" s="32" t="s">
        <v>41</v>
      </c>
      <c r="C95" s="21" t="s">
        <v>472</v>
      </c>
      <c r="D95" s="21" t="s">
        <v>356</v>
      </c>
      <c r="E95" s="21"/>
      <c r="F95" s="20">
        <v>400</v>
      </c>
      <c r="G95" s="31">
        <v>32.356000000000002</v>
      </c>
      <c r="H95" s="31">
        <v>27.765000000000001</v>
      </c>
      <c r="I95" s="31">
        <v>26.04</v>
      </c>
      <c r="J95" s="31">
        <v>97.204099999999997</v>
      </c>
      <c r="K95" s="31">
        <v>97.680400000000006</v>
      </c>
      <c r="L95" s="31">
        <v>98.058899999999994</v>
      </c>
      <c r="M95" s="31">
        <v>4451.4133000000002</v>
      </c>
      <c r="N95" s="31">
        <v>5041.3999999999996</v>
      </c>
      <c r="O95" s="31">
        <v>5678.3</v>
      </c>
      <c r="P95" s="31">
        <f t="shared" si="6"/>
        <v>140002.99595730373</v>
      </c>
      <c r="Q95" s="31">
        <f t="shared" si="7"/>
        <v>136727.623170684</v>
      </c>
      <c r="R95" s="31">
        <f t="shared" si="8"/>
        <v>144992.76462694799</v>
      </c>
      <c r="S95" s="30">
        <v>94.800003000000004</v>
      </c>
      <c r="T95" s="30">
        <v>95.400002000000001</v>
      </c>
      <c r="U95" s="30">
        <v>97.199996999999996</v>
      </c>
      <c r="V95" s="23"/>
      <c r="W95" s="23"/>
      <c r="X95" s="23"/>
    </row>
    <row r="96" spans="2:24" x14ac:dyDescent="0.25">
      <c r="B96" s="32" t="s">
        <v>174</v>
      </c>
      <c r="C96" s="21" t="s">
        <v>471</v>
      </c>
      <c r="D96" s="21" t="s">
        <v>361</v>
      </c>
      <c r="E96" s="21"/>
      <c r="F96" s="20">
        <v>398</v>
      </c>
      <c r="G96" s="31">
        <v>16.218</v>
      </c>
      <c r="H96" s="31">
        <v>16.672000000000001</v>
      </c>
      <c r="I96" s="31">
        <v>19.774999999999999</v>
      </c>
      <c r="J96" s="31">
        <v>95.657399999999996</v>
      </c>
      <c r="K96" s="31">
        <v>96.797799999999995</v>
      </c>
      <c r="L96" s="31">
        <v>97.4405</v>
      </c>
      <c r="M96" s="31">
        <v>15345.39</v>
      </c>
      <c r="N96" s="31">
        <v>14901.96</v>
      </c>
      <c r="O96" s="31">
        <v>15489.24</v>
      </c>
      <c r="P96" s="31">
        <f t="shared" si="6"/>
        <v>238064.03974022146</v>
      </c>
      <c r="Q96" s="31">
        <f t="shared" si="7"/>
        <v>240489.75605166334</v>
      </c>
      <c r="R96" s="31">
        <f t="shared" si="8"/>
        <v>298459.97964100493</v>
      </c>
      <c r="S96" s="30">
        <v>96.400002000000001</v>
      </c>
      <c r="T96" s="30">
        <v>93.800003000000004</v>
      </c>
      <c r="U96" s="30">
        <v>97.400002000000001</v>
      </c>
    </row>
    <row r="97" spans="2:24" x14ac:dyDescent="0.25">
      <c r="B97" s="32" t="s">
        <v>89</v>
      </c>
      <c r="C97" s="21" t="s">
        <v>470</v>
      </c>
      <c r="D97" s="21" t="s">
        <v>353</v>
      </c>
      <c r="E97" s="21"/>
      <c r="F97" s="20">
        <v>404</v>
      </c>
      <c r="G97" s="31">
        <v>38.195999999999998</v>
      </c>
      <c r="H97" s="31">
        <v>38.777999999999999</v>
      </c>
      <c r="I97" s="31">
        <v>39.026000000000003</v>
      </c>
      <c r="J97" s="31">
        <v>93.097800000000007</v>
      </c>
      <c r="K97" s="31">
        <v>92.957700000000003</v>
      </c>
      <c r="L97" s="31">
        <v>93.616</v>
      </c>
      <c r="M97" s="31">
        <v>29063.411</v>
      </c>
      <c r="N97" s="31">
        <v>33142.156999999999</v>
      </c>
      <c r="O97" s="31">
        <v>37782.084999999999</v>
      </c>
      <c r="P97" s="31">
        <f t="shared" si="6"/>
        <v>1033484.3070106118</v>
      </c>
      <c r="Q97" s="31">
        <f t="shared" si="7"/>
        <v>1194679.8707391461</v>
      </c>
      <c r="R97" s="31">
        <f t="shared" si="8"/>
        <v>1380352.613044434</v>
      </c>
      <c r="S97" s="30">
        <v>84.599997999999999</v>
      </c>
      <c r="T97" s="30">
        <v>78.400002000000001</v>
      </c>
      <c r="U97" s="30">
        <v>76.800003000000004</v>
      </c>
    </row>
    <row r="98" spans="2:24" x14ac:dyDescent="0.25">
      <c r="B98" s="32" t="s">
        <v>173</v>
      </c>
      <c r="C98" s="21" t="s">
        <v>469</v>
      </c>
      <c r="D98" s="21" t="s">
        <v>366</v>
      </c>
      <c r="E98" s="21"/>
      <c r="F98" s="20">
        <v>414</v>
      </c>
      <c r="G98" s="31">
        <v>20.559000000000001</v>
      </c>
      <c r="H98" s="31">
        <v>18.559000000000001</v>
      </c>
      <c r="I98" s="31">
        <v>17.911000000000001</v>
      </c>
      <c r="J98" s="31">
        <v>98.9131</v>
      </c>
      <c r="K98" s="31">
        <v>99.025899999999993</v>
      </c>
      <c r="L98" s="31">
        <v>99.090599999999995</v>
      </c>
      <c r="M98" s="31">
        <v>1962</v>
      </c>
      <c r="N98" s="31">
        <v>2331.174</v>
      </c>
      <c r="O98" s="31">
        <v>2664.1205</v>
      </c>
      <c r="P98" s="31">
        <f t="shared" si="6"/>
        <v>39898.337777298002</v>
      </c>
      <c r="Q98" s="31">
        <f t="shared" si="7"/>
        <v>42842.821126230898</v>
      </c>
      <c r="R98" s="31">
        <f t="shared" si="8"/>
        <v>47283.123311166608</v>
      </c>
      <c r="S98" s="30">
        <v>96.599997999999999</v>
      </c>
      <c r="T98" s="30">
        <v>98.599997999999999</v>
      </c>
      <c r="U98" s="30">
        <v>98</v>
      </c>
    </row>
    <row r="99" spans="2:24" x14ac:dyDescent="0.25">
      <c r="B99" s="32" t="s">
        <v>172</v>
      </c>
      <c r="C99" s="21" t="s">
        <v>468</v>
      </c>
      <c r="D99" s="21" t="s">
        <v>353</v>
      </c>
      <c r="E99" s="21"/>
      <c r="F99" s="20">
        <v>417</v>
      </c>
      <c r="G99" s="31">
        <v>24.152000000000001</v>
      </c>
      <c r="H99" s="31">
        <v>20.928999999999998</v>
      </c>
      <c r="I99" s="31">
        <v>22.38</v>
      </c>
      <c r="J99" s="31">
        <v>95.174700000000001</v>
      </c>
      <c r="K99" s="31">
        <v>95.967799999999997</v>
      </c>
      <c r="L99" s="31">
        <v>96.271500000000003</v>
      </c>
      <c r="M99" s="31">
        <v>4726.7</v>
      </c>
      <c r="N99" s="31">
        <v>4998.9404000000004</v>
      </c>
      <c r="O99" s="31">
        <v>5233.9309999999996</v>
      </c>
      <c r="P99" s="31">
        <f t="shared" si="6"/>
        <v>108650.7317044248</v>
      </c>
      <c r="Q99" s="31">
        <f t="shared" si="7"/>
        <v>100404.22213712662</v>
      </c>
      <c r="R99" s="31">
        <f t="shared" si="8"/>
        <v>112767.98329404269</v>
      </c>
      <c r="S99" s="30">
        <v>97</v>
      </c>
      <c r="T99" s="30">
        <v>98.599997999999999</v>
      </c>
      <c r="U99" s="30">
        <v>94.800003000000004</v>
      </c>
    </row>
    <row r="100" spans="2:24" x14ac:dyDescent="0.25">
      <c r="B100" s="32" t="s">
        <v>171</v>
      </c>
      <c r="C100" s="21" t="s">
        <v>467</v>
      </c>
      <c r="D100" s="21" t="s">
        <v>356</v>
      </c>
      <c r="E100" s="21"/>
      <c r="F100" s="20">
        <v>418</v>
      </c>
      <c r="G100" s="31">
        <v>36.46</v>
      </c>
      <c r="H100" s="31">
        <v>29.056999999999999</v>
      </c>
      <c r="I100" s="31">
        <v>27.611999999999998</v>
      </c>
      <c r="J100" s="31">
        <v>92.759699999999995</v>
      </c>
      <c r="K100" s="31">
        <v>93.969499999999996</v>
      </c>
      <c r="L100" s="31">
        <v>95.026200000000003</v>
      </c>
      <c r="M100" s="31">
        <v>5053.3977999999997</v>
      </c>
      <c r="N100" s="31">
        <v>5595.9327999999996</v>
      </c>
      <c r="O100" s="31">
        <v>6096.2865999999995</v>
      </c>
      <c r="P100" s="31">
        <f t="shared" si="6"/>
        <v>170906.85666109744</v>
      </c>
      <c r="Q100" s="31">
        <f t="shared" si="7"/>
        <v>152795.36489651626</v>
      </c>
      <c r="R100" s="31">
        <f t="shared" si="8"/>
        <v>159958.23495362696</v>
      </c>
      <c r="S100" s="30">
        <v>56.200001</v>
      </c>
      <c r="T100" s="30">
        <v>50</v>
      </c>
      <c r="U100" s="30">
        <v>55.400002000000001</v>
      </c>
    </row>
    <row r="101" spans="2:24" x14ac:dyDescent="0.25">
      <c r="B101" s="32" t="s">
        <v>170</v>
      </c>
      <c r="C101" s="21" t="s">
        <v>466</v>
      </c>
      <c r="D101" s="21" t="s">
        <v>361</v>
      </c>
      <c r="E101" s="21"/>
      <c r="F101" s="20">
        <v>428</v>
      </c>
      <c r="G101" s="31">
        <v>8.0310000000000006</v>
      </c>
      <c r="H101" s="31">
        <v>8.7690000000000001</v>
      </c>
      <c r="I101" s="31">
        <v>10.143000000000001</v>
      </c>
      <c r="J101" s="31">
        <v>98.545000000000002</v>
      </c>
      <c r="K101" s="31">
        <v>99.003299999999996</v>
      </c>
      <c r="L101" s="31">
        <v>99.100700000000003</v>
      </c>
      <c r="M101" s="31">
        <v>2451.1999999999998</v>
      </c>
      <c r="N101" s="31">
        <v>2341.4266000000002</v>
      </c>
      <c r="O101" s="31">
        <v>2277.154</v>
      </c>
      <c r="P101" s="31">
        <f t="shared" ref="P101:P132" si="9">+M101*G101*J101/100</f>
        <v>19399.161906240002</v>
      </c>
      <c r="Q101" s="31">
        <f t="shared" ref="Q101:Q132" si="10">+N101*H101*K101/100</f>
        <v>20327.327711851231</v>
      </c>
      <c r="R101" s="31">
        <f t="shared" ref="R101:R132" si="11">+O101*I101*L101/100</f>
        <v>22889.460145013156</v>
      </c>
      <c r="S101" s="30">
        <v>94.400002000000001</v>
      </c>
      <c r="T101" s="30">
        <v>97.400002000000001</v>
      </c>
      <c r="U101" s="30">
        <v>97.400002000000001</v>
      </c>
    </row>
    <row r="102" spans="2:24" x14ac:dyDescent="0.25">
      <c r="B102" s="32" t="s">
        <v>169</v>
      </c>
      <c r="C102" s="21" t="s">
        <v>465</v>
      </c>
      <c r="D102" s="21" t="s">
        <v>361</v>
      </c>
      <c r="E102" s="21"/>
      <c r="F102" s="20">
        <v>422</v>
      </c>
      <c r="G102" s="31">
        <v>22.582000000000001</v>
      </c>
      <c r="H102" s="31">
        <v>17.623999999999999</v>
      </c>
      <c r="I102" s="31">
        <v>15.843999999999999</v>
      </c>
      <c r="J102" s="31">
        <v>97.211299999999994</v>
      </c>
      <c r="K102" s="31">
        <v>97.480099999999993</v>
      </c>
      <c r="L102" s="31">
        <v>97.798100000000005</v>
      </c>
      <c r="M102" s="31">
        <v>3615.3530000000001</v>
      </c>
      <c r="N102" s="31">
        <v>3899.4074000000001</v>
      </c>
      <c r="O102" s="31">
        <v>4157.4502000000002</v>
      </c>
      <c r="P102" s="31">
        <f t="shared" si="9"/>
        <v>79365.15374037539</v>
      </c>
      <c r="Q102" s="31">
        <f t="shared" si="10"/>
        <v>66991.401209112475</v>
      </c>
      <c r="R102" s="31">
        <f t="shared" si="11"/>
        <v>64420.235325307993</v>
      </c>
      <c r="S102" s="30">
        <v>90.599997999999999</v>
      </c>
      <c r="T102" s="30">
        <v>77.599997999999999</v>
      </c>
      <c r="U102" s="30">
        <v>74</v>
      </c>
    </row>
    <row r="103" spans="2:24" x14ac:dyDescent="0.25">
      <c r="B103" s="32" t="s">
        <v>38</v>
      </c>
      <c r="C103" s="21" t="s">
        <v>464</v>
      </c>
      <c r="D103" s="21" t="s">
        <v>859</v>
      </c>
      <c r="E103" s="21"/>
      <c r="F103" s="20">
        <v>426</v>
      </c>
      <c r="G103" s="31">
        <v>33.954999999999998</v>
      </c>
      <c r="H103" s="31">
        <v>31.213999999999999</v>
      </c>
      <c r="I103" s="31">
        <v>29.111999999999998</v>
      </c>
      <c r="J103" s="31">
        <v>92.596400000000003</v>
      </c>
      <c r="K103" s="31">
        <v>92.108400000000003</v>
      </c>
      <c r="L103" s="31">
        <v>93.040700000000001</v>
      </c>
      <c r="M103" s="31">
        <v>1791.453</v>
      </c>
      <c r="N103" s="31">
        <v>1934.9248</v>
      </c>
      <c r="O103" s="31">
        <v>2031.3606000000002</v>
      </c>
      <c r="P103" s="31">
        <f t="shared" si="9"/>
        <v>56325.266569171858</v>
      </c>
      <c r="Q103" s="31">
        <f t="shared" si="10"/>
        <v>55630.473359718599</v>
      </c>
      <c r="R103" s="31">
        <f t="shared" si="11"/>
        <v>55021.450648799393</v>
      </c>
      <c r="S103" s="30">
        <v>87.599997999999999</v>
      </c>
      <c r="T103" s="30">
        <v>84.800003000000004</v>
      </c>
      <c r="U103" s="30">
        <v>84.599997999999999</v>
      </c>
    </row>
    <row r="104" spans="2:24" x14ac:dyDescent="0.25">
      <c r="B104" s="32" t="s">
        <v>85</v>
      </c>
      <c r="C104" s="21" t="s">
        <v>463</v>
      </c>
      <c r="D104" s="21" t="s">
        <v>353</v>
      </c>
      <c r="E104" s="21"/>
      <c r="F104" s="20">
        <v>430</v>
      </c>
      <c r="G104" s="31">
        <v>43.642000000000003</v>
      </c>
      <c r="H104" s="31">
        <v>41.069000000000003</v>
      </c>
      <c r="I104" s="31">
        <v>38.555999999999997</v>
      </c>
      <c r="J104" s="31">
        <v>88.184100000000001</v>
      </c>
      <c r="K104" s="31">
        <v>89.683300000000003</v>
      </c>
      <c r="L104" s="31">
        <v>90.498000000000005</v>
      </c>
      <c r="M104" s="31">
        <v>2262.5806000000002</v>
      </c>
      <c r="N104" s="31">
        <v>3040.2583999999997</v>
      </c>
      <c r="O104" s="31">
        <v>3636.1812</v>
      </c>
      <c r="P104" s="31">
        <f t="shared" si="9"/>
        <v>87076.104301601721</v>
      </c>
      <c r="Q104" s="31">
        <f t="shared" si="10"/>
        <v>111978.90220778884</v>
      </c>
      <c r="R104" s="31">
        <f t="shared" si="11"/>
        <v>126875.12119216904</v>
      </c>
      <c r="S104" s="30">
        <v>50</v>
      </c>
      <c r="T104" s="30">
        <v>38.599997999999999</v>
      </c>
      <c r="U104" s="30">
        <v>61.599997999999999</v>
      </c>
      <c r="V104" s="23"/>
      <c r="W104" s="23"/>
      <c r="X104" s="23"/>
    </row>
    <row r="105" spans="2:24" x14ac:dyDescent="0.25">
      <c r="B105" s="32" t="s">
        <v>168</v>
      </c>
      <c r="C105" s="21" t="s">
        <v>462</v>
      </c>
      <c r="D105" s="21" t="s">
        <v>361</v>
      </c>
      <c r="E105" s="21"/>
      <c r="F105" s="20">
        <v>434</v>
      </c>
      <c r="G105" s="31">
        <v>23.76</v>
      </c>
      <c r="H105" s="31">
        <v>24.030999999999999</v>
      </c>
      <c r="I105" s="31">
        <v>23.414999999999999</v>
      </c>
      <c r="J105" s="31">
        <v>97.621499999999997</v>
      </c>
      <c r="K105" s="31">
        <v>97.914900000000003</v>
      </c>
      <c r="L105" s="31">
        <v>98.196200000000005</v>
      </c>
      <c r="M105" s="31">
        <v>5033.9935999999998</v>
      </c>
      <c r="N105" s="31">
        <v>5571.9578000000001</v>
      </c>
      <c r="O105" s="31">
        <v>6170.1935999999996</v>
      </c>
      <c r="P105" s="31">
        <f t="shared" si="9"/>
        <v>116762.81907844223</v>
      </c>
      <c r="Q105" s="31">
        <f t="shared" si="10"/>
        <v>131107.77487403806</v>
      </c>
      <c r="R105" s="31">
        <f t="shared" si="11"/>
        <v>141869.0415942485</v>
      </c>
      <c r="S105" s="30">
        <v>95.199996999999996</v>
      </c>
      <c r="T105" s="30">
        <v>94.599997999999999</v>
      </c>
      <c r="U105" s="30">
        <v>98</v>
      </c>
    </row>
    <row r="106" spans="2:24" x14ac:dyDescent="0.25">
      <c r="B106" s="32" t="s">
        <v>167</v>
      </c>
      <c r="C106" s="21" t="s">
        <v>461</v>
      </c>
      <c r="D106" s="21" t="s">
        <v>361</v>
      </c>
      <c r="E106" s="21"/>
      <c r="F106" s="20">
        <v>440</v>
      </c>
      <c r="G106" s="31">
        <v>10.597</v>
      </c>
      <c r="H106" s="31">
        <v>9.0820000000000007</v>
      </c>
      <c r="I106" s="31">
        <v>9.468</v>
      </c>
      <c r="J106" s="31">
        <v>98.992199999999997</v>
      </c>
      <c r="K106" s="31">
        <v>99.231999999999999</v>
      </c>
      <c r="L106" s="31">
        <v>99.109399999999994</v>
      </c>
      <c r="M106" s="31">
        <v>3580.6</v>
      </c>
      <c r="N106" s="31">
        <v>3467.9482000000003</v>
      </c>
      <c r="O106" s="31">
        <v>3376.3330000000001</v>
      </c>
      <c r="P106" s="31">
        <f t="shared" si="9"/>
        <v>37561.222415780394</v>
      </c>
      <c r="Q106" s="31">
        <f t="shared" si="10"/>
        <v>31254.016997757572</v>
      </c>
      <c r="R106" s="31">
        <f t="shared" si="11"/>
        <v>31682.421665763333</v>
      </c>
      <c r="S106" s="30">
        <v>91.400002000000001</v>
      </c>
      <c r="T106" s="30">
        <v>94.400002000000001</v>
      </c>
      <c r="U106" s="30">
        <v>95.400002000000001</v>
      </c>
    </row>
    <row r="107" spans="2:24" x14ac:dyDescent="0.25">
      <c r="B107" s="32" t="s">
        <v>166</v>
      </c>
      <c r="C107" s="21" t="s">
        <v>460</v>
      </c>
      <c r="D107" s="21" t="s">
        <v>366</v>
      </c>
      <c r="E107" s="21"/>
      <c r="F107" s="20">
        <v>442</v>
      </c>
      <c r="G107" s="31">
        <v>13.086</v>
      </c>
      <c r="H107" s="31">
        <v>11.878</v>
      </c>
      <c r="I107" s="31">
        <v>11.388999999999999</v>
      </c>
      <c r="J107" s="31">
        <v>99.494699999999995</v>
      </c>
      <c r="K107" s="31">
        <v>99.533500000000004</v>
      </c>
      <c r="L107" s="31">
        <v>99.576700000000002</v>
      </c>
      <c r="M107" s="31">
        <v>419.495</v>
      </c>
      <c r="N107" s="31">
        <v>446.745</v>
      </c>
      <c r="O107" s="31">
        <v>480.85840000000002</v>
      </c>
      <c r="P107" s="31">
        <f t="shared" si="9"/>
        <v>5461.7730680367895</v>
      </c>
      <c r="Q107" s="31">
        <f t="shared" si="10"/>
        <v>5281.6825808818503</v>
      </c>
      <c r="R107" s="31">
        <f t="shared" si="11"/>
        <v>5453.3143086875998</v>
      </c>
      <c r="S107" s="30">
        <v>97.800003000000004</v>
      </c>
      <c r="T107" s="30">
        <v>98.199996999999996</v>
      </c>
      <c r="U107" s="30">
        <v>99</v>
      </c>
    </row>
    <row r="108" spans="2:24" x14ac:dyDescent="0.25">
      <c r="B108" s="32" t="s">
        <v>84</v>
      </c>
      <c r="C108" s="21" t="s">
        <v>459</v>
      </c>
      <c r="D108" s="21" t="s">
        <v>353</v>
      </c>
      <c r="E108" s="21"/>
      <c r="F108" s="20">
        <v>450</v>
      </c>
      <c r="G108" s="31">
        <v>42.837000000000003</v>
      </c>
      <c r="H108" s="31">
        <v>39.261000000000003</v>
      </c>
      <c r="I108" s="31">
        <v>36.191000000000003</v>
      </c>
      <c r="J108" s="31">
        <v>91.555800000000005</v>
      </c>
      <c r="K108" s="31">
        <v>92.533199999999994</v>
      </c>
      <c r="L108" s="31">
        <v>93.480199999999996</v>
      </c>
      <c r="M108" s="31">
        <v>13963.763000000001</v>
      </c>
      <c r="N108" s="31">
        <v>16196.544</v>
      </c>
      <c r="O108" s="31">
        <v>18612.007000000001</v>
      </c>
      <c r="P108" s="31">
        <f t="shared" si="9"/>
        <v>547655.40627168724</v>
      </c>
      <c r="Q108" s="31">
        <f t="shared" si="10"/>
        <v>588411.69174984272</v>
      </c>
      <c r="R108" s="31">
        <f t="shared" si="11"/>
        <v>629670.61063531833</v>
      </c>
      <c r="S108" s="30">
        <v>52.400002000000001</v>
      </c>
      <c r="T108" s="30">
        <v>62.400002000000001</v>
      </c>
      <c r="U108" s="30">
        <v>80.800003000000004</v>
      </c>
    </row>
    <row r="109" spans="2:24" x14ac:dyDescent="0.25">
      <c r="B109" s="32" t="s">
        <v>83</v>
      </c>
      <c r="C109" s="21" t="s">
        <v>458</v>
      </c>
      <c r="D109" s="21" t="s">
        <v>353</v>
      </c>
      <c r="E109" s="21"/>
      <c r="F109" s="20">
        <v>454</v>
      </c>
      <c r="G109" s="31">
        <v>47.031999999999996</v>
      </c>
      <c r="H109" s="31">
        <v>43.718000000000004</v>
      </c>
      <c r="I109" s="31">
        <v>40.454999999999998</v>
      </c>
      <c r="J109" s="31">
        <v>88.891400000000004</v>
      </c>
      <c r="K109" s="31">
        <v>90.360799999999998</v>
      </c>
      <c r="L109" s="31">
        <v>91.636899999999997</v>
      </c>
      <c r="M109" s="31">
        <v>10756.044</v>
      </c>
      <c r="N109" s="31">
        <v>12553.379000000001</v>
      </c>
      <c r="O109" s="31">
        <v>14449.217000000001</v>
      </c>
      <c r="P109" s="31">
        <f t="shared" si="9"/>
        <v>449682.26886123093</v>
      </c>
      <c r="Q109" s="31">
        <f t="shared" si="10"/>
        <v>495907.86232202424</v>
      </c>
      <c r="R109" s="31">
        <f t="shared" si="11"/>
        <v>535657.1519354682</v>
      </c>
      <c r="S109" s="30">
        <v>91</v>
      </c>
      <c r="T109" s="30">
        <v>80.400002000000001</v>
      </c>
      <c r="U109" s="30">
        <v>92.599997999999999</v>
      </c>
    </row>
    <row r="110" spans="2:24" x14ac:dyDescent="0.25">
      <c r="B110" s="32" t="s">
        <v>165</v>
      </c>
      <c r="C110" s="21" t="s">
        <v>457</v>
      </c>
      <c r="D110" s="21" t="s">
        <v>361</v>
      </c>
      <c r="E110" s="21"/>
      <c r="F110" s="20">
        <v>458</v>
      </c>
      <c r="G110" s="31">
        <v>24.548999999999999</v>
      </c>
      <c r="H110" s="31">
        <v>22.584</v>
      </c>
      <c r="I110" s="31">
        <v>20.533999999999999</v>
      </c>
      <c r="J110" s="31">
        <v>98.838800000000006</v>
      </c>
      <c r="K110" s="31">
        <v>98.991900000000001</v>
      </c>
      <c r="L110" s="31">
        <v>99.108999999999995</v>
      </c>
      <c r="M110" s="31">
        <v>21671.905999999999</v>
      </c>
      <c r="N110" s="31">
        <v>24236.68</v>
      </c>
      <c r="O110" s="31">
        <v>26553.19</v>
      </c>
      <c r="P110" s="31">
        <f t="shared" si="9"/>
        <v>525845.76211398491</v>
      </c>
      <c r="Q110" s="31">
        <f t="shared" si="10"/>
        <v>541843.23305312928</v>
      </c>
      <c r="R110" s="31">
        <f t="shared" si="11"/>
        <v>540385.08651717135</v>
      </c>
      <c r="S110" s="30">
        <v>94</v>
      </c>
      <c r="T110" s="30">
        <v>96.199996999999996</v>
      </c>
      <c r="U110" s="30">
        <v>93.199996999999996</v>
      </c>
    </row>
    <row r="111" spans="2:24" x14ac:dyDescent="0.25">
      <c r="B111" s="32" t="s">
        <v>37</v>
      </c>
      <c r="C111" s="21" t="s">
        <v>456</v>
      </c>
      <c r="D111" s="21" t="s">
        <v>361</v>
      </c>
      <c r="E111" s="21"/>
      <c r="F111" s="20">
        <v>462</v>
      </c>
      <c r="G111" s="31">
        <v>25.582999999999998</v>
      </c>
      <c r="H111" s="31">
        <v>19.451000000000001</v>
      </c>
      <c r="I111" s="31">
        <v>18.82</v>
      </c>
      <c r="J111" s="31">
        <v>94.664100000000005</v>
      </c>
      <c r="K111" s="31">
        <v>96.555700000000002</v>
      </c>
      <c r="L111" s="31">
        <v>97.599500000000006</v>
      </c>
      <c r="M111" s="31">
        <v>258.1918</v>
      </c>
      <c r="N111" s="31">
        <v>280.40479999999997</v>
      </c>
      <c r="O111" s="31">
        <v>300.81799999999998</v>
      </c>
      <c r="P111" s="31">
        <f t="shared" si="9"/>
        <v>6252.8675057976352</v>
      </c>
      <c r="Q111" s="31">
        <f t="shared" si="10"/>
        <v>5266.2963466789934</v>
      </c>
      <c r="R111" s="31">
        <f t="shared" si="11"/>
        <v>5525.4929787862011</v>
      </c>
      <c r="S111" s="30">
        <v>96.599997999999999</v>
      </c>
      <c r="T111" s="30">
        <v>97.599997999999999</v>
      </c>
      <c r="U111" s="30">
        <v>98</v>
      </c>
    </row>
    <row r="112" spans="2:24" x14ac:dyDescent="0.25">
      <c r="B112" s="32" t="s">
        <v>82</v>
      </c>
      <c r="C112" s="21" t="s">
        <v>455</v>
      </c>
      <c r="D112" s="21" t="s">
        <v>353</v>
      </c>
      <c r="E112" s="21"/>
      <c r="F112" s="20">
        <v>466</v>
      </c>
      <c r="G112" s="31">
        <v>44.125999999999998</v>
      </c>
      <c r="H112" s="31">
        <v>43.283000000000001</v>
      </c>
      <c r="I112" s="31">
        <v>42.79</v>
      </c>
      <c r="J112" s="31">
        <v>87.935199999999995</v>
      </c>
      <c r="K112" s="31">
        <v>88.668199999999999</v>
      </c>
      <c r="L112" s="31">
        <v>89.370900000000006</v>
      </c>
      <c r="M112" s="31">
        <v>9920.9153999999999</v>
      </c>
      <c r="N112" s="31">
        <v>11024.357</v>
      </c>
      <c r="O112" s="31">
        <v>12415.144</v>
      </c>
      <c r="P112" s="31">
        <f t="shared" si="9"/>
        <v>384954.20022476657</v>
      </c>
      <c r="Q112" s="31">
        <f t="shared" si="10"/>
        <v>423095.60627189517</v>
      </c>
      <c r="R112" s="31">
        <f t="shared" si="11"/>
        <v>474777.55450601788</v>
      </c>
      <c r="S112" s="30">
        <v>49.799999</v>
      </c>
      <c r="T112" s="30">
        <v>57</v>
      </c>
      <c r="U112" s="30">
        <v>75.199996999999996</v>
      </c>
    </row>
    <row r="113" spans="2:21" x14ac:dyDescent="0.25">
      <c r="B113" s="32" t="s">
        <v>164</v>
      </c>
      <c r="C113" s="21" t="s">
        <v>454</v>
      </c>
      <c r="D113" s="21" t="s">
        <v>366</v>
      </c>
      <c r="E113" s="21"/>
      <c r="F113" s="20">
        <v>470</v>
      </c>
      <c r="G113" s="31">
        <v>12.275</v>
      </c>
      <c r="H113" s="31">
        <v>9.9629999999999992</v>
      </c>
      <c r="I113" s="31">
        <v>9.0399999999999991</v>
      </c>
      <c r="J113" s="31">
        <v>99.218800000000002</v>
      </c>
      <c r="K113" s="31">
        <v>99.31</v>
      </c>
      <c r="L113" s="31">
        <v>99.367400000000004</v>
      </c>
      <c r="M113" s="31">
        <v>382.8</v>
      </c>
      <c r="N113" s="31">
        <v>395.77</v>
      </c>
      <c r="O113" s="31">
        <v>409.17579999999998</v>
      </c>
      <c r="P113" s="31">
        <f t="shared" si="9"/>
        <v>4662.1624275600007</v>
      </c>
      <c r="Q113" s="31">
        <f t="shared" si="10"/>
        <v>3915.8494200809992</v>
      </c>
      <c r="R113" s="31">
        <f t="shared" si="11"/>
        <v>3675.5496791583678</v>
      </c>
      <c r="S113" s="30">
        <v>92.199996999999996</v>
      </c>
      <c r="T113" s="30">
        <v>93.400002000000001</v>
      </c>
      <c r="U113" s="30">
        <v>79.199996999999996</v>
      </c>
    </row>
    <row r="114" spans="2:21" x14ac:dyDescent="0.25">
      <c r="B114" s="32" t="s">
        <v>453</v>
      </c>
      <c r="C114" s="21" t="s">
        <v>452</v>
      </c>
      <c r="D114" s="21"/>
      <c r="E114" s="21"/>
      <c r="F114" s="20">
        <v>474</v>
      </c>
      <c r="G114" s="31">
        <v>15.19</v>
      </c>
      <c r="H114" s="31">
        <v>14.38</v>
      </c>
      <c r="I114" s="31">
        <v>12.643000000000001</v>
      </c>
      <c r="J114" s="31">
        <v>99.204499999999996</v>
      </c>
      <c r="K114" s="31">
        <v>99.299199999999999</v>
      </c>
      <c r="L114" s="31">
        <v>99.340100000000007</v>
      </c>
      <c r="M114" s="31"/>
      <c r="N114" s="31"/>
      <c r="O114" s="31"/>
      <c r="P114" s="31">
        <f t="shared" si="9"/>
        <v>0</v>
      </c>
      <c r="Q114" s="31">
        <f t="shared" si="10"/>
        <v>0</v>
      </c>
      <c r="R114" s="31">
        <f t="shared" si="11"/>
        <v>0</v>
      </c>
      <c r="S114" s="30"/>
      <c r="T114" s="30"/>
      <c r="U114" s="30"/>
    </row>
    <row r="115" spans="2:21" x14ac:dyDescent="0.25">
      <c r="B115" s="32" t="s">
        <v>81</v>
      </c>
      <c r="C115" s="21" t="s">
        <v>451</v>
      </c>
      <c r="D115" s="21" t="s">
        <v>356</v>
      </c>
      <c r="E115" s="21"/>
      <c r="F115" s="20">
        <v>478</v>
      </c>
      <c r="G115" s="31">
        <v>37.405999999999999</v>
      </c>
      <c r="H115" s="31">
        <v>35.758000000000003</v>
      </c>
      <c r="I115" s="31">
        <v>33.798000000000002</v>
      </c>
      <c r="J115" s="31">
        <v>92.685699999999997</v>
      </c>
      <c r="K115" s="31">
        <v>92.734200000000001</v>
      </c>
      <c r="L115" s="31">
        <v>92.727999999999994</v>
      </c>
      <c r="M115" s="31">
        <v>2398.8022000000001</v>
      </c>
      <c r="N115" s="31">
        <v>2754.4254000000001</v>
      </c>
      <c r="O115" s="31">
        <v>3138.4204</v>
      </c>
      <c r="P115" s="31">
        <f t="shared" si="9"/>
        <v>83166.503319298063</v>
      </c>
      <c r="Q115" s="31">
        <f t="shared" si="10"/>
        <v>91336.45769937741</v>
      </c>
      <c r="R115" s="31">
        <f t="shared" si="11"/>
        <v>98358.752646768582</v>
      </c>
      <c r="S115" s="30">
        <v>36.200001</v>
      </c>
      <c r="T115" s="30">
        <v>70.800003000000004</v>
      </c>
      <c r="U115" s="30">
        <v>70.400002000000001</v>
      </c>
    </row>
    <row r="116" spans="2:21" x14ac:dyDescent="0.25">
      <c r="B116" s="32" t="s">
        <v>163</v>
      </c>
      <c r="C116" s="21" t="s">
        <v>450</v>
      </c>
      <c r="D116" s="21" t="s">
        <v>361</v>
      </c>
      <c r="E116" s="21">
        <v>2</v>
      </c>
      <c r="F116" s="20">
        <v>480</v>
      </c>
      <c r="G116" s="31">
        <v>18.152000000000001</v>
      </c>
      <c r="H116" s="31">
        <v>15.978</v>
      </c>
      <c r="I116" s="31">
        <v>14.112</v>
      </c>
      <c r="J116" s="31">
        <v>98.214600000000004</v>
      </c>
      <c r="K116" s="31">
        <v>98.476799999999997</v>
      </c>
      <c r="L116" s="31">
        <v>98.542599999999993</v>
      </c>
      <c r="M116" s="31">
        <v>1148.085</v>
      </c>
      <c r="N116" s="31">
        <v>1210.6293999999998</v>
      </c>
      <c r="O116" s="31">
        <v>1260.2218</v>
      </c>
      <c r="P116" s="31">
        <f t="shared" si="9"/>
        <v>20467.960865122324</v>
      </c>
      <c r="Q116" s="31">
        <f t="shared" si="10"/>
        <v>19048.797327621654</v>
      </c>
      <c r="R116" s="31">
        <f t="shared" si="11"/>
        <v>17525.062381493721</v>
      </c>
      <c r="S116" s="30">
        <v>89.199996999999996</v>
      </c>
      <c r="T116" s="30">
        <v>91.599997999999999</v>
      </c>
      <c r="U116" s="30">
        <v>97.800003000000004</v>
      </c>
    </row>
    <row r="117" spans="2:21" x14ac:dyDescent="0.25">
      <c r="B117" s="32" t="s">
        <v>319</v>
      </c>
      <c r="C117" s="18" t="s">
        <v>449</v>
      </c>
      <c r="D117" s="21" t="s">
        <v>361</v>
      </c>
      <c r="E117" s="21"/>
      <c r="F117" s="20">
        <v>175</v>
      </c>
      <c r="G117" s="31">
        <v>37.365000000000002</v>
      </c>
      <c r="H117" s="31">
        <v>30.542999999999999</v>
      </c>
      <c r="I117" s="31">
        <v>25.390999999999998</v>
      </c>
      <c r="J117" s="31">
        <v>99.219899999999996</v>
      </c>
      <c r="K117" s="31">
        <v>99.265799999999999</v>
      </c>
      <c r="L117" s="31">
        <v>99.312100000000001</v>
      </c>
      <c r="M117" s="31"/>
      <c r="N117" s="31"/>
      <c r="O117" s="31"/>
      <c r="P117" s="31">
        <f t="shared" si="9"/>
        <v>0</v>
      </c>
      <c r="Q117" s="31">
        <f t="shared" si="10"/>
        <v>0</v>
      </c>
      <c r="R117" s="31">
        <f t="shared" si="11"/>
        <v>0</v>
      </c>
      <c r="S117" s="30"/>
      <c r="T117" s="30"/>
      <c r="U117" s="30"/>
    </row>
    <row r="118" spans="2:21" x14ac:dyDescent="0.25">
      <c r="B118" s="32" t="s">
        <v>162</v>
      </c>
      <c r="C118" s="21" t="s">
        <v>448</v>
      </c>
      <c r="D118" s="21" t="s">
        <v>361</v>
      </c>
      <c r="E118" s="21"/>
      <c r="F118" s="20">
        <v>484</v>
      </c>
      <c r="G118" s="31">
        <v>23.747</v>
      </c>
      <c r="H118" s="31">
        <v>21.327999999999999</v>
      </c>
      <c r="I118" s="31">
        <v>19.091000000000001</v>
      </c>
      <c r="J118" s="31">
        <v>97.230800000000002</v>
      </c>
      <c r="K118" s="31">
        <v>97.949799999999996</v>
      </c>
      <c r="L118" s="31">
        <v>98.334599999999995</v>
      </c>
      <c r="M118" s="31">
        <v>93895.52</v>
      </c>
      <c r="N118" s="31">
        <v>100000</v>
      </c>
      <c r="O118" s="31">
        <v>105300</v>
      </c>
      <c r="P118" s="31">
        <f t="shared" si="9"/>
        <v>2167991.0388330198</v>
      </c>
      <c r="Q118" s="31">
        <f t="shared" si="10"/>
        <v>2089073.3344000001</v>
      </c>
      <c r="R118" s="31">
        <f t="shared" si="11"/>
        <v>1976803.0585758002</v>
      </c>
      <c r="S118" s="30">
        <v>94.599997999999999</v>
      </c>
      <c r="T118" s="30">
        <v>97.400002000000001</v>
      </c>
      <c r="U118" s="30">
        <v>95.800003000000004</v>
      </c>
    </row>
    <row r="119" spans="2:21" x14ac:dyDescent="0.25">
      <c r="B119" s="32" t="s">
        <v>447</v>
      </c>
      <c r="C119" s="18" t="s">
        <v>446</v>
      </c>
      <c r="D119" s="21" t="s">
        <v>356</v>
      </c>
      <c r="E119" s="21"/>
      <c r="F119" s="20">
        <v>583</v>
      </c>
      <c r="G119" s="31">
        <v>31.477</v>
      </c>
      <c r="H119" s="31">
        <v>28.545000000000002</v>
      </c>
      <c r="I119" s="31">
        <v>25.486999999999998</v>
      </c>
      <c r="J119" s="31">
        <v>96.000600000000006</v>
      </c>
      <c r="K119" s="31">
        <v>96.21</v>
      </c>
      <c r="L119" s="31">
        <v>96.595699999999994</v>
      </c>
      <c r="M119" s="31">
        <v>107.581</v>
      </c>
      <c r="N119" s="31">
        <v>107.8656</v>
      </c>
      <c r="O119" s="31">
        <v>110.0962</v>
      </c>
      <c r="P119" s="31">
        <f t="shared" si="9"/>
        <v>3250.8943694828222</v>
      </c>
      <c r="Q119" s="31">
        <f t="shared" si="10"/>
        <v>2962.3285593791998</v>
      </c>
      <c r="R119" s="31">
        <f t="shared" si="11"/>
        <v>2710.4964475808752</v>
      </c>
      <c r="S119" s="30">
        <v>78.599997999999999</v>
      </c>
      <c r="T119" s="30">
        <v>82.800003000000004</v>
      </c>
      <c r="U119" s="30">
        <v>83.199996999999996</v>
      </c>
    </row>
    <row r="120" spans="2:21" x14ac:dyDescent="0.25">
      <c r="B120" s="32" t="s">
        <v>33</v>
      </c>
      <c r="C120" s="21" t="s">
        <v>445</v>
      </c>
      <c r="D120" s="21" t="s">
        <v>356</v>
      </c>
      <c r="E120" s="21"/>
      <c r="F120" s="20">
        <v>496</v>
      </c>
      <c r="G120" s="31">
        <v>21.7</v>
      </c>
      <c r="H120" s="31">
        <v>18.414999999999999</v>
      </c>
      <c r="I120" s="31">
        <v>18.954999999999998</v>
      </c>
      <c r="J120" s="31">
        <v>95.131600000000006</v>
      </c>
      <c r="K120" s="31">
        <v>95.265299999999996</v>
      </c>
      <c r="L120" s="31">
        <v>95.793800000000005</v>
      </c>
      <c r="M120" s="31">
        <v>2310.5852</v>
      </c>
      <c r="N120" s="31">
        <v>2452.4177999999997</v>
      </c>
      <c r="O120" s="31">
        <v>2610.9022</v>
      </c>
      <c r="P120" s="31">
        <f t="shared" si="9"/>
        <v>47698.697741673437</v>
      </c>
      <c r="Q120" s="31">
        <f t="shared" si="10"/>
        <v>43023.022957006899</v>
      </c>
      <c r="R120" s="31">
        <f t="shared" si="11"/>
        <v>47408.017492183528</v>
      </c>
      <c r="S120" s="30">
        <v>91.599997999999999</v>
      </c>
      <c r="T120" s="30">
        <v>97</v>
      </c>
      <c r="U120" s="30">
        <v>96.800003000000004</v>
      </c>
    </row>
    <row r="121" spans="2:21" x14ac:dyDescent="0.25">
      <c r="B121" s="32" t="s">
        <v>159</v>
      </c>
      <c r="C121" s="21" t="s">
        <v>444</v>
      </c>
      <c r="D121" s="21" t="s">
        <v>361</v>
      </c>
      <c r="E121" s="21"/>
      <c r="F121" s="20">
        <v>499</v>
      </c>
      <c r="G121" s="31">
        <v>13.52</v>
      </c>
      <c r="H121" s="31">
        <v>13.045999999999999</v>
      </c>
      <c r="I121" s="31">
        <v>12.076000000000001</v>
      </c>
      <c r="J121" s="31">
        <v>98.419399999999996</v>
      </c>
      <c r="K121" s="31">
        <v>98.843100000000007</v>
      </c>
      <c r="L121" s="31">
        <v>99.129000000000005</v>
      </c>
      <c r="M121" s="31"/>
      <c r="N121" s="31"/>
      <c r="O121" s="31"/>
      <c r="P121" s="31">
        <f t="shared" si="9"/>
        <v>0</v>
      </c>
      <c r="Q121" s="31">
        <f t="shared" si="10"/>
        <v>0</v>
      </c>
      <c r="R121" s="31">
        <f t="shared" si="11"/>
        <v>0</v>
      </c>
      <c r="S121" s="30"/>
      <c r="T121" s="30"/>
      <c r="U121" s="30"/>
    </row>
    <row r="122" spans="2:21" x14ac:dyDescent="0.25">
      <c r="B122" s="32" t="s">
        <v>32</v>
      </c>
      <c r="C122" s="21" t="s">
        <v>443</v>
      </c>
      <c r="D122" s="21" t="s">
        <v>356</v>
      </c>
      <c r="E122" s="21"/>
      <c r="F122" s="20">
        <v>504</v>
      </c>
      <c r="G122" s="31">
        <v>23.422999999999998</v>
      </c>
      <c r="H122" s="31">
        <v>20.905000000000001</v>
      </c>
      <c r="I122" s="31">
        <v>20.536000000000001</v>
      </c>
      <c r="J122" s="31">
        <v>95.304000000000002</v>
      </c>
      <c r="K122" s="31">
        <v>96.253200000000007</v>
      </c>
      <c r="L122" s="31">
        <v>96.940200000000004</v>
      </c>
      <c r="M122" s="31">
        <v>27722.618999999999</v>
      </c>
      <c r="N122" s="31">
        <v>29492.305</v>
      </c>
      <c r="O122" s="31">
        <v>31234.061000000002</v>
      </c>
      <c r="P122" s="31">
        <f t="shared" si="9"/>
        <v>618853.57418585441</v>
      </c>
      <c r="Q122" s="31">
        <f t="shared" si="10"/>
        <v>593436.24134641537</v>
      </c>
      <c r="R122" s="31">
        <f t="shared" si="11"/>
        <v>621796.42563445587</v>
      </c>
      <c r="S122" s="30">
        <v>92.599997999999999</v>
      </c>
      <c r="T122" s="30">
        <v>94.599997999999999</v>
      </c>
      <c r="U122" s="30">
        <v>97.599997999999999</v>
      </c>
    </row>
    <row r="123" spans="2:21" x14ac:dyDescent="0.25">
      <c r="B123" s="32" t="s">
        <v>80</v>
      </c>
      <c r="C123" s="21" t="s">
        <v>442</v>
      </c>
      <c r="D123" s="21" t="s">
        <v>353</v>
      </c>
      <c r="E123" s="21"/>
      <c r="F123" s="20">
        <v>508</v>
      </c>
      <c r="G123" s="31">
        <v>43.494999999999997</v>
      </c>
      <c r="H123" s="31">
        <v>43.548000000000002</v>
      </c>
      <c r="I123" s="31">
        <v>39.509</v>
      </c>
      <c r="J123" s="31">
        <v>88.548500000000004</v>
      </c>
      <c r="K123" s="31">
        <v>89.718599999999995</v>
      </c>
      <c r="L123" s="31">
        <v>90.993200000000002</v>
      </c>
      <c r="M123" s="31">
        <v>16874.343000000001</v>
      </c>
      <c r="N123" s="31">
        <v>19269.876</v>
      </c>
      <c r="O123" s="31">
        <v>21866.807000000001</v>
      </c>
      <c r="P123" s="31">
        <f t="shared" si="9"/>
        <v>649901.31620588573</v>
      </c>
      <c r="Q123" s="31">
        <f t="shared" si="10"/>
        <v>752886.69497122499</v>
      </c>
      <c r="R123" s="31">
        <f t="shared" si="11"/>
        <v>786122.71913824219</v>
      </c>
      <c r="S123" s="30">
        <v>62.400002000000001</v>
      </c>
      <c r="T123" s="30">
        <v>74.199996999999996</v>
      </c>
      <c r="U123" s="30">
        <v>76</v>
      </c>
    </row>
    <row r="124" spans="2:21" x14ac:dyDescent="0.25">
      <c r="B124" s="32" t="s">
        <v>79</v>
      </c>
      <c r="C124" s="21" t="s">
        <v>441</v>
      </c>
      <c r="D124" s="21" t="s">
        <v>353</v>
      </c>
      <c r="E124" s="21"/>
      <c r="F124" s="20">
        <v>104</v>
      </c>
      <c r="G124" s="31">
        <v>22.219000000000001</v>
      </c>
      <c r="H124" s="31">
        <v>21.5</v>
      </c>
      <c r="I124" s="31">
        <v>20.651</v>
      </c>
      <c r="J124" s="31">
        <v>91.885800000000003</v>
      </c>
      <c r="K124" s="31">
        <v>92.1738</v>
      </c>
      <c r="L124" s="31">
        <v>92.468299999999999</v>
      </c>
      <c r="M124" s="31">
        <v>45023.192999999999</v>
      </c>
      <c r="N124" s="31">
        <v>47333.517999999996</v>
      </c>
      <c r="O124" s="31">
        <v>49156.197</v>
      </c>
      <c r="P124" s="31">
        <f t="shared" si="9"/>
        <v>919198.27633418515</v>
      </c>
      <c r="Q124" s="31">
        <f t="shared" si="10"/>
        <v>938025.69760710583</v>
      </c>
      <c r="R124" s="31">
        <f t="shared" si="11"/>
        <v>938668.48292258871</v>
      </c>
      <c r="S124" s="30">
        <v>85.400002000000001</v>
      </c>
      <c r="T124" s="30">
        <v>78.800003000000004</v>
      </c>
      <c r="U124" s="30">
        <v>83.199996999999996</v>
      </c>
    </row>
    <row r="125" spans="2:21" x14ac:dyDescent="0.25">
      <c r="B125" s="32" t="s">
        <v>158</v>
      </c>
      <c r="C125" s="21" t="s">
        <v>440</v>
      </c>
      <c r="D125" s="21" t="s">
        <v>361</v>
      </c>
      <c r="E125" s="21"/>
      <c r="F125" s="20">
        <v>516</v>
      </c>
      <c r="G125" s="31">
        <v>32.670999999999999</v>
      </c>
      <c r="H125" s="31">
        <v>29.952999999999999</v>
      </c>
      <c r="I125" s="31">
        <v>27.8</v>
      </c>
      <c r="J125" s="31">
        <v>94.619699999999995</v>
      </c>
      <c r="K125" s="31">
        <v>95.058899999999994</v>
      </c>
      <c r="L125" s="31">
        <v>96.501000000000005</v>
      </c>
      <c r="M125" s="31">
        <v>1702.2633999999998</v>
      </c>
      <c r="N125" s="31">
        <v>1898.0298</v>
      </c>
      <c r="O125" s="31">
        <v>2089.3888000000002</v>
      </c>
      <c r="P125" s="31">
        <f t="shared" si="9"/>
        <v>52622.412659730042</v>
      </c>
      <c r="Q125" s="31">
        <f t="shared" si="10"/>
        <v>54042.587912837043</v>
      </c>
      <c r="R125" s="31">
        <f t="shared" si="11"/>
        <v>56052.614187686406</v>
      </c>
      <c r="S125" s="30">
        <v>71.199996999999996</v>
      </c>
      <c r="T125" s="30">
        <v>78.800003000000004</v>
      </c>
      <c r="U125" s="30">
        <v>84.800003000000004</v>
      </c>
    </row>
    <row r="126" spans="2:21" x14ac:dyDescent="0.25">
      <c r="B126" s="32" t="s">
        <v>78</v>
      </c>
      <c r="C126" s="21" t="s">
        <v>439</v>
      </c>
      <c r="D126" s="21" t="s">
        <v>353</v>
      </c>
      <c r="E126" s="21"/>
      <c r="F126" s="20">
        <v>524</v>
      </c>
      <c r="G126" s="31">
        <v>34.878999999999998</v>
      </c>
      <c r="H126" s="31">
        <v>30.05</v>
      </c>
      <c r="I126" s="31">
        <v>25.611000000000001</v>
      </c>
      <c r="J126" s="31">
        <v>92.796899999999994</v>
      </c>
      <c r="K126" s="31">
        <v>94.534499999999994</v>
      </c>
      <c r="L126" s="31">
        <v>95.782499999999999</v>
      </c>
      <c r="M126" s="31">
        <v>22736.216</v>
      </c>
      <c r="N126" s="31">
        <v>25558.27</v>
      </c>
      <c r="O126" s="31">
        <v>28281.315999999999</v>
      </c>
      <c r="P126" s="31">
        <f t="shared" si="9"/>
        <v>735894.70794697816</v>
      </c>
      <c r="Q126" s="31">
        <f t="shared" si="10"/>
        <v>726049.55173215747</v>
      </c>
      <c r="R126" s="31">
        <f t="shared" si="11"/>
        <v>693764.8924075946</v>
      </c>
      <c r="S126" s="30">
        <v>66.599997999999999</v>
      </c>
      <c r="T126" s="30">
        <v>76.400002000000001</v>
      </c>
      <c r="U126" s="30">
        <v>82</v>
      </c>
    </row>
    <row r="127" spans="2:21" x14ac:dyDescent="0.25">
      <c r="B127" s="32" t="s">
        <v>156</v>
      </c>
      <c r="C127" s="21" t="s">
        <v>438</v>
      </c>
      <c r="D127" s="21" t="s">
        <v>366</v>
      </c>
      <c r="E127" s="21"/>
      <c r="F127" s="20">
        <v>528</v>
      </c>
      <c r="G127" s="31">
        <v>12.433</v>
      </c>
      <c r="H127" s="31">
        <v>12.361000000000001</v>
      </c>
      <c r="I127" s="31">
        <v>11.259</v>
      </c>
      <c r="J127" s="31">
        <v>99.471599999999995</v>
      </c>
      <c r="K127" s="31">
        <v>99.514700000000005</v>
      </c>
      <c r="L127" s="31">
        <v>99.550200000000004</v>
      </c>
      <c r="M127" s="31">
        <v>15617.4</v>
      </c>
      <c r="N127" s="31">
        <v>16125.483</v>
      </c>
      <c r="O127" s="31">
        <v>16404.906999999999</v>
      </c>
      <c r="P127" s="31">
        <f t="shared" si="9"/>
        <v>193145.13392688718</v>
      </c>
      <c r="Q127" s="31">
        <f t="shared" si="10"/>
        <v>198359.76096920337</v>
      </c>
      <c r="R127" s="31">
        <f t="shared" si="11"/>
        <v>183872.05450308733</v>
      </c>
      <c r="S127" s="30">
        <v>97</v>
      </c>
      <c r="T127" s="30">
        <v>97</v>
      </c>
      <c r="U127" s="30">
        <v>96.800003000000004</v>
      </c>
    </row>
    <row r="128" spans="2:21" x14ac:dyDescent="0.25">
      <c r="B128" s="32" t="s">
        <v>437</v>
      </c>
      <c r="C128" s="21" t="s">
        <v>436</v>
      </c>
      <c r="D128" s="21"/>
      <c r="E128" s="21"/>
      <c r="F128" s="20">
        <v>530</v>
      </c>
      <c r="G128" s="31">
        <v>16.34</v>
      </c>
      <c r="H128" s="31">
        <v>14.763999999999999</v>
      </c>
      <c r="I128" s="31">
        <v>13.401</v>
      </c>
      <c r="J128" s="31">
        <v>98.451700000000002</v>
      </c>
      <c r="K128" s="31">
        <v>98.602900000000005</v>
      </c>
      <c r="L128" s="31">
        <v>98.725099999999998</v>
      </c>
      <c r="M128" s="31"/>
      <c r="N128" s="31"/>
      <c r="O128" s="31"/>
      <c r="P128" s="31">
        <f t="shared" si="9"/>
        <v>0</v>
      </c>
      <c r="Q128" s="31">
        <f t="shared" si="10"/>
        <v>0</v>
      </c>
      <c r="R128" s="31">
        <f t="shared" si="11"/>
        <v>0</v>
      </c>
      <c r="S128" s="30"/>
      <c r="T128" s="30"/>
      <c r="U128" s="30"/>
    </row>
    <row r="129" spans="2:23" x14ac:dyDescent="0.25">
      <c r="B129" s="32" t="s">
        <v>435</v>
      </c>
      <c r="C129" s="21" t="s">
        <v>434</v>
      </c>
      <c r="D129" s="21"/>
      <c r="E129" s="21"/>
      <c r="F129" s="20">
        <v>540</v>
      </c>
      <c r="G129" s="31">
        <v>21.747</v>
      </c>
      <c r="H129" s="31">
        <v>18.385999999999999</v>
      </c>
      <c r="I129" s="31">
        <v>16.477</v>
      </c>
      <c r="J129" s="31">
        <v>99.169700000000006</v>
      </c>
      <c r="K129" s="31">
        <v>99.335999999999999</v>
      </c>
      <c r="L129" s="31">
        <v>99.386200000000002</v>
      </c>
      <c r="M129" s="31"/>
      <c r="N129" s="31"/>
      <c r="O129" s="31"/>
      <c r="P129" s="31">
        <f t="shared" si="9"/>
        <v>0</v>
      </c>
      <c r="Q129" s="31">
        <f t="shared" si="10"/>
        <v>0</v>
      </c>
      <c r="R129" s="31">
        <f t="shared" si="11"/>
        <v>0</v>
      </c>
      <c r="S129" s="30"/>
      <c r="T129" s="30"/>
      <c r="U129" s="30"/>
    </row>
    <row r="130" spans="2:23" x14ac:dyDescent="0.25">
      <c r="B130" s="32" t="s">
        <v>155</v>
      </c>
      <c r="C130" s="21" t="s">
        <v>433</v>
      </c>
      <c r="D130" s="21" t="s">
        <v>366</v>
      </c>
      <c r="E130" s="21"/>
      <c r="F130" s="20">
        <v>554</v>
      </c>
      <c r="G130" s="31">
        <v>14.955</v>
      </c>
      <c r="H130" s="31">
        <v>14.074</v>
      </c>
      <c r="I130" s="31">
        <v>13.831</v>
      </c>
      <c r="J130" s="31">
        <v>99.356700000000004</v>
      </c>
      <c r="K130" s="31">
        <v>99.505399999999995</v>
      </c>
      <c r="L130" s="31">
        <v>99.544600000000003</v>
      </c>
      <c r="M130" s="31">
        <v>3767.38</v>
      </c>
      <c r="N130" s="31">
        <v>3960.3</v>
      </c>
      <c r="O130" s="31">
        <v>4226.3</v>
      </c>
      <c r="P130" s="31">
        <f t="shared" si="9"/>
        <v>55978.725166899298</v>
      </c>
      <c r="Q130" s="31">
        <f t="shared" si="10"/>
        <v>55461.585701158801</v>
      </c>
      <c r="R130" s="31">
        <f t="shared" si="11"/>
        <v>58187.755987563804</v>
      </c>
      <c r="S130" s="30">
        <v>86.400002000000001</v>
      </c>
      <c r="T130" s="30">
        <v>89.599997999999999</v>
      </c>
      <c r="U130" s="30">
        <v>89.400002000000001</v>
      </c>
    </row>
    <row r="131" spans="2:23" x14ac:dyDescent="0.25">
      <c r="B131" s="32" t="s">
        <v>31</v>
      </c>
      <c r="C131" s="21" t="s">
        <v>432</v>
      </c>
      <c r="D131" s="21" t="s">
        <v>859</v>
      </c>
      <c r="E131" s="21"/>
      <c r="F131" s="20">
        <v>558</v>
      </c>
      <c r="G131" s="31">
        <v>30.126999999999999</v>
      </c>
      <c r="H131" s="31">
        <v>26.254999999999999</v>
      </c>
      <c r="I131" s="31">
        <v>24.847999999999999</v>
      </c>
      <c r="J131" s="31">
        <v>96.642899999999997</v>
      </c>
      <c r="K131" s="31">
        <v>97.356700000000004</v>
      </c>
      <c r="L131" s="31">
        <v>97.8506</v>
      </c>
      <c r="M131" s="31">
        <v>4844.7439999999997</v>
      </c>
      <c r="N131" s="31">
        <v>5246.125</v>
      </c>
      <c r="O131" s="31">
        <v>5597.0222000000003</v>
      </c>
      <c r="P131" s="31">
        <f t="shared" si="9"/>
        <v>141057.65981487534</v>
      </c>
      <c r="Q131" s="31">
        <f t="shared" si="10"/>
        <v>134096.20944010813</v>
      </c>
      <c r="R131" s="31">
        <f t="shared" si="11"/>
        <v>136085.53371049534</v>
      </c>
      <c r="S131" s="30">
        <v>80.599997999999999</v>
      </c>
      <c r="T131" s="30">
        <v>83.400002000000001</v>
      </c>
      <c r="U131" s="30">
        <v>92.199996999999996</v>
      </c>
      <c r="V131" s="23"/>
      <c r="W131" s="23"/>
    </row>
    <row r="132" spans="2:23" x14ac:dyDescent="0.25">
      <c r="B132" s="32" t="s">
        <v>77</v>
      </c>
      <c r="C132" s="21" t="s">
        <v>431</v>
      </c>
      <c r="D132" s="21" t="s">
        <v>353</v>
      </c>
      <c r="E132" s="21"/>
      <c r="F132" s="20">
        <v>562</v>
      </c>
      <c r="G132" s="31">
        <v>54.012999999999998</v>
      </c>
      <c r="H132" s="31">
        <v>52.182000000000002</v>
      </c>
      <c r="I132" s="31">
        <v>54.052999999999997</v>
      </c>
      <c r="J132" s="31">
        <v>87.0214</v>
      </c>
      <c r="K132" s="31">
        <v>89.200599999999994</v>
      </c>
      <c r="L132" s="31">
        <v>91.191900000000004</v>
      </c>
      <c r="M132" s="31">
        <v>9969.2901999999995</v>
      </c>
      <c r="N132" s="31">
        <v>11815.075000000001</v>
      </c>
      <c r="O132" s="31">
        <v>14167.982</v>
      </c>
      <c r="P132" s="31">
        <f t="shared" si="9"/>
        <v>468585.23912027851</v>
      </c>
      <c r="Q132" s="31">
        <f t="shared" si="10"/>
        <v>549952.24454126193</v>
      </c>
      <c r="R132" s="31">
        <f t="shared" si="11"/>
        <v>698367.56953753729</v>
      </c>
      <c r="S132" s="30">
        <v>26.4</v>
      </c>
      <c r="T132" s="30">
        <v>38.599997999999999</v>
      </c>
      <c r="U132" s="30">
        <v>58</v>
      </c>
    </row>
    <row r="133" spans="2:23" x14ac:dyDescent="0.25">
      <c r="B133" s="32" t="s">
        <v>110</v>
      </c>
      <c r="C133" s="21" t="s">
        <v>430</v>
      </c>
      <c r="D133" s="21" t="s">
        <v>859</v>
      </c>
      <c r="E133" s="21"/>
      <c r="F133" s="20">
        <v>566</v>
      </c>
      <c r="G133" s="31">
        <v>43.462000000000003</v>
      </c>
      <c r="H133" s="31">
        <v>41.784999999999997</v>
      </c>
      <c r="I133" s="31">
        <v>40.134</v>
      </c>
      <c r="J133" s="31">
        <v>87.273899999999998</v>
      </c>
      <c r="K133" s="31">
        <v>88.628299999999996</v>
      </c>
      <c r="L133" s="31">
        <v>89.067700000000002</v>
      </c>
      <c r="M133" s="31">
        <v>116100</v>
      </c>
      <c r="N133" s="31">
        <v>131100</v>
      </c>
      <c r="O133" s="31">
        <v>147800</v>
      </c>
      <c r="P133" s="31">
        <f t="shared" ref="P133:P164" si="12">+M133*G133*J133/100</f>
        <v>4403787.0587298004</v>
      </c>
      <c r="Q133" s="31">
        <f t="shared" ref="Q133:Q164" si="13">+N133*H133*K133/100</f>
        <v>4855070.2388204997</v>
      </c>
      <c r="R133" s="31">
        <f t="shared" ref="R133:R164" si="14">+O133*I133*L133/100</f>
        <v>5283322.4601204004</v>
      </c>
      <c r="S133" s="30">
        <v>28.799999</v>
      </c>
      <c r="T133" s="30">
        <v>28.6</v>
      </c>
      <c r="U133" s="30">
        <v>40.400002000000001</v>
      </c>
    </row>
    <row r="134" spans="2:23" x14ac:dyDescent="0.25">
      <c r="B134" s="32" t="s">
        <v>153</v>
      </c>
      <c r="C134" s="21" t="s">
        <v>429</v>
      </c>
      <c r="D134" s="21" t="s">
        <v>366</v>
      </c>
      <c r="E134" s="21">
        <v>11</v>
      </c>
      <c r="F134" s="20">
        <v>578</v>
      </c>
      <c r="G134" s="31">
        <v>13.378</v>
      </c>
      <c r="H134" s="31">
        <v>12.366</v>
      </c>
      <c r="I134" s="31">
        <v>12.304</v>
      </c>
      <c r="J134" s="31">
        <v>99.599199999999996</v>
      </c>
      <c r="K134" s="31">
        <v>99.624799999999993</v>
      </c>
      <c r="L134" s="31">
        <v>99.654700000000005</v>
      </c>
      <c r="M134" s="31">
        <v>4407.42</v>
      </c>
      <c r="N134" s="31">
        <v>4539.7700000000004</v>
      </c>
      <c r="O134" s="31">
        <v>4717.6760000000004</v>
      </c>
      <c r="P134" s="31">
        <f t="shared" si="12"/>
        <v>58726.143201241925</v>
      </c>
      <c r="Q134" s="31">
        <f t="shared" si="13"/>
        <v>55928.163058083366</v>
      </c>
      <c r="R134" s="31">
        <f t="shared" si="14"/>
        <v>57845.851680154701</v>
      </c>
      <c r="S134" s="30">
        <v>94.800003000000004</v>
      </c>
      <c r="T134" s="30">
        <v>91.599997999999999</v>
      </c>
      <c r="U134" s="30">
        <v>92.599997999999999</v>
      </c>
    </row>
    <row r="135" spans="2:23" x14ac:dyDescent="0.25">
      <c r="B135" s="32" t="s">
        <v>428</v>
      </c>
      <c r="C135" s="18" t="s">
        <v>427</v>
      </c>
      <c r="D135" s="21"/>
      <c r="E135" s="21"/>
      <c r="F135" s="20">
        <v>275</v>
      </c>
      <c r="G135" s="31">
        <v>41.970999999999997</v>
      </c>
      <c r="H135" s="31">
        <v>39.06</v>
      </c>
      <c r="I135" s="31">
        <v>35.854999999999997</v>
      </c>
      <c r="J135" s="31">
        <v>97.4923</v>
      </c>
      <c r="K135" s="31">
        <v>97.913600000000002</v>
      </c>
      <c r="L135" s="31">
        <v>98.249499999999998</v>
      </c>
      <c r="M135" s="31">
        <v>0</v>
      </c>
      <c r="N135" s="31">
        <v>0</v>
      </c>
      <c r="O135" s="31">
        <v>0</v>
      </c>
      <c r="P135" s="31">
        <f t="shared" si="12"/>
        <v>0</v>
      </c>
      <c r="Q135" s="31">
        <f t="shared" si="13"/>
        <v>0</v>
      </c>
      <c r="R135" s="31">
        <f t="shared" si="14"/>
        <v>0</v>
      </c>
      <c r="S135" s="30">
        <v>0</v>
      </c>
      <c r="T135" s="30">
        <v>0</v>
      </c>
      <c r="U135" s="30">
        <v>0</v>
      </c>
    </row>
    <row r="136" spans="2:23" x14ac:dyDescent="0.25">
      <c r="B136" s="32" t="s">
        <v>152</v>
      </c>
      <c r="C136" s="21" t="s">
        <v>426</v>
      </c>
      <c r="D136" s="21" t="s">
        <v>366</v>
      </c>
      <c r="E136" s="21"/>
      <c r="F136" s="20">
        <v>512</v>
      </c>
      <c r="G136" s="31">
        <v>29.396999999999998</v>
      </c>
      <c r="H136" s="31">
        <v>23.952000000000002</v>
      </c>
      <c r="I136" s="31">
        <v>22.058</v>
      </c>
      <c r="J136" s="31">
        <v>98.034300000000002</v>
      </c>
      <c r="K136" s="31">
        <v>98.484099999999998</v>
      </c>
      <c r="L136" s="31">
        <v>98.771900000000002</v>
      </c>
      <c r="M136" s="31">
        <v>2269.9569999999999</v>
      </c>
      <c r="N136" s="31">
        <v>2485.0659999999998</v>
      </c>
      <c r="O136" s="31">
        <v>2728.9929999999999</v>
      </c>
      <c r="P136" s="31">
        <f t="shared" si="12"/>
        <v>65418.215775013639</v>
      </c>
      <c r="Q136" s="31">
        <f t="shared" si="13"/>
        <v>58620.002273687714</v>
      </c>
      <c r="R136" s="31">
        <f t="shared" si="14"/>
        <v>59456.85895101809</v>
      </c>
      <c r="S136" s="30">
        <v>99</v>
      </c>
      <c r="T136" s="30">
        <v>99</v>
      </c>
      <c r="U136" s="30">
        <v>98.599997999999999</v>
      </c>
    </row>
    <row r="137" spans="2:23" x14ac:dyDescent="0.25">
      <c r="B137" s="32" t="s">
        <v>151</v>
      </c>
      <c r="C137" s="21" t="s">
        <v>425</v>
      </c>
      <c r="D137" s="21" t="s">
        <v>859</v>
      </c>
      <c r="E137" s="21"/>
      <c r="F137" s="20">
        <v>586</v>
      </c>
      <c r="G137" s="31">
        <v>34.048999999999999</v>
      </c>
      <c r="H137" s="31">
        <v>31.73</v>
      </c>
      <c r="I137" s="31">
        <v>30.209</v>
      </c>
      <c r="J137" s="31">
        <v>92.231399999999994</v>
      </c>
      <c r="K137" s="31">
        <v>92.947999999999993</v>
      </c>
      <c r="L137" s="31">
        <v>93.612799999999993</v>
      </c>
      <c r="M137" s="31">
        <v>128500</v>
      </c>
      <c r="N137" s="31">
        <v>145000</v>
      </c>
      <c r="O137" s="31">
        <v>162700</v>
      </c>
      <c r="P137" s="31">
        <f t="shared" si="12"/>
        <v>4035397.2161009996</v>
      </c>
      <c r="Q137" s="31">
        <f t="shared" si="13"/>
        <v>4276398.0579999993</v>
      </c>
      <c r="R137" s="31">
        <f t="shared" si="14"/>
        <v>4601073.1453503994</v>
      </c>
      <c r="S137" s="30">
        <v>53.799999</v>
      </c>
      <c r="T137" s="30">
        <v>65.400002000000001</v>
      </c>
      <c r="U137" s="30">
        <v>80.800003000000004</v>
      </c>
    </row>
    <row r="138" spans="2:23" x14ac:dyDescent="0.25">
      <c r="B138" s="32" t="s">
        <v>149</v>
      </c>
      <c r="C138" s="21" t="s">
        <v>424</v>
      </c>
      <c r="D138" s="21" t="s">
        <v>361</v>
      </c>
      <c r="E138" s="21"/>
      <c r="F138" s="20">
        <v>591</v>
      </c>
      <c r="G138" s="31">
        <v>24.111000000000001</v>
      </c>
      <c r="H138" s="31">
        <v>22.68</v>
      </c>
      <c r="I138" s="31">
        <v>20.818999999999999</v>
      </c>
      <c r="J138" s="31">
        <v>97.628200000000007</v>
      </c>
      <c r="K138" s="31">
        <v>97.936499999999995</v>
      </c>
      <c r="L138" s="31">
        <v>98.182599999999994</v>
      </c>
      <c r="M138" s="31">
        <v>2783.1112000000003</v>
      </c>
      <c r="N138" s="31">
        <v>3063.2336</v>
      </c>
      <c r="O138" s="31">
        <v>3343.0522000000001</v>
      </c>
      <c r="P138" s="31">
        <f t="shared" si="12"/>
        <v>65512.031097311599</v>
      </c>
      <c r="Q138" s="31">
        <f t="shared" si="13"/>
        <v>68040.539209379509</v>
      </c>
      <c r="R138" s="31">
        <f t="shared" si="14"/>
        <v>68334.111457614781</v>
      </c>
      <c r="S138" s="30">
        <v>92.400002000000001</v>
      </c>
      <c r="T138" s="30">
        <v>98</v>
      </c>
      <c r="U138" s="30">
        <v>87.599997999999999</v>
      </c>
    </row>
    <row r="139" spans="2:23" x14ac:dyDescent="0.25">
      <c r="B139" s="32" t="s">
        <v>109</v>
      </c>
      <c r="C139" s="21" t="s">
        <v>423</v>
      </c>
      <c r="D139" s="21" t="s">
        <v>859</v>
      </c>
      <c r="E139" s="21"/>
      <c r="F139" s="20">
        <v>598</v>
      </c>
      <c r="G139" s="31">
        <v>36.869</v>
      </c>
      <c r="H139" s="31">
        <v>34.145000000000003</v>
      </c>
      <c r="I139" s="31">
        <v>31.684000000000001</v>
      </c>
      <c r="J139" s="31">
        <v>93.419600000000003</v>
      </c>
      <c r="K139" s="31">
        <v>94.363</v>
      </c>
      <c r="L139" s="31">
        <v>94.924999999999997</v>
      </c>
      <c r="M139" s="31">
        <v>4974.3500000000004</v>
      </c>
      <c r="N139" s="31">
        <v>5676.3729999999996</v>
      </c>
      <c r="O139" s="31">
        <v>6423.8789999999999</v>
      </c>
      <c r="P139" s="31">
        <f t="shared" si="12"/>
        <v>171330.90194488943</v>
      </c>
      <c r="Q139" s="31">
        <f t="shared" si="13"/>
        <v>182894.13643448855</v>
      </c>
      <c r="R139" s="31">
        <f t="shared" si="14"/>
        <v>193204.82248752299</v>
      </c>
      <c r="S139" s="30">
        <v>56.599997999999999</v>
      </c>
      <c r="T139" s="30">
        <v>61</v>
      </c>
      <c r="U139" s="30">
        <v>59.599997999999999</v>
      </c>
    </row>
    <row r="140" spans="2:23" x14ac:dyDescent="0.25">
      <c r="B140" s="32" t="s">
        <v>27</v>
      </c>
      <c r="C140" s="21" t="s">
        <v>422</v>
      </c>
      <c r="D140" s="21" t="s">
        <v>356</v>
      </c>
      <c r="E140" s="21"/>
      <c r="F140" s="20">
        <v>600</v>
      </c>
      <c r="G140" s="31">
        <v>29.254000000000001</v>
      </c>
      <c r="H140" s="31">
        <v>26.914999999999999</v>
      </c>
      <c r="I140" s="31">
        <v>24.821999999999999</v>
      </c>
      <c r="J140" s="31">
        <v>96.081999999999994</v>
      </c>
      <c r="K140" s="31">
        <v>96.447900000000004</v>
      </c>
      <c r="L140" s="31">
        <v>96.798000000000002</v>
      </c>
      <c r="M140" s="31">
        <v>5021.1531999999997</v>
      </c>
      <c r="N140" s="31">
        <v>5571.3747999999996</v>
      </c>
      <c r="O140" s="31">
        <v>6126.59</v>
      </c>
      <c r="P140" s="31">
        <f t="shared" si="12"/>
        <v>141133.71191317248</v>
      </c>
      <c r="Q140" s="31">
        <f t="shared" si="13"/>
        <v>144627.05259505138</v>
      </c>
      <c r="R140" s="31">
        <f t="shared" si="14"/>
        <v>147204.80055230041</v>
      </c>
      <c r="S140" s="30">
        <v>75.199996999999996</v>
      </c>
      <c r="T140" s="30">
        <v>87.199996999999996</v>
      </c>
      <c r="U140" s="30">
        <v>91.199996999999996</v>
      </c>
    </row>
    <row r="141" spans="2:23" x14ac:dyDescent="0.25">
      <c r="B141" s="32" t="s">
        <v>148</v>
      </c>
      <c r="C141" s="21" t="s">
        <v>421</v>
      </c>
      <c r="D141" s="21" t="s">
        <v>361</v>
      </c>
      <c r="E141" s="21"/>
      <c r="F141" s="20">
        <v>604</v>
      </c>
      <c r="G141" s="31">
        <v>25.384</v>
      </c>
      <c r="H141" s="31">
        <v>23.058</v>
      </c>
      <c r="I141" s="31">
        <v>21.341999999999999</v>
      </c>
      <c r="J141" s="31">
        <v>96.122900000000001</v>
      </c>
      <c r="K141" s="31">
        <v>96.965800000000002</v>
      </c>
      <c r="L141" s="31">
        <v>97.884299999999996</v>
      </c>
      <c r="M141" s="31">
        <v>24781.64</v>
      </c>
      <c r="N141" s="31">
        <v>26755.361000000001</v>
      </c>
      <c r="O141" s="31">
        <v>28504.395</v>
      </c>
      <c r="P141" s="31">
        <f t="shared" si="12"/>
        <v>604667.97500665498</v>
      </c>
      <c r="Q141" s="31">
        <f t="shared" si="13"/>
        <v>598206.37213089329</v>
      </c>
      <c r="R141" s="31">
        <f t="shared" si="14"/>
        <v>595470.13182480971</v>
      </c>
      <c r="S141" s="30">
        <v>93.400002000000001</v>
      </c>
      <c r="T141" s="30">
        <v>93.599997999999999</v>
      </c>
      <c r="U141" s="30">
        <v>94.400002000000001</v>
      </c>
    </row>
    <row r="142" spans="2:23" x14ac:dyDescent="0.25">
      <c r="B142" s="32" t="s">
        <v>26</v>
      </c>
      <c r="C142" s="21" t="s">
        <v>420</v>
      </c>
      <c r="D142" s="21" t="s">
        <v>356</v>
      </c>
      <c r="E142" s="21"/>
      <c r="F142" s="20">
        <v>608</v>
      </c>
      <c r="G142" s="31">
        <v>28.893000000000001</v>
      </c>
      <c r="H142" s="31">
        <v>26.373999999999999</v>
      </c>
      <c r="I142" s="31">
        <v>24.963000000000001</v>
      </c>
      <c r="J142" s="31">
        <v>96.562899999999999</v>
      </c>
      <c r="K142" s="31">
        <v>97.229699999999994</v>
      </c>
      <c r="L142" s="31">
        <v>97.702200000000005</v>
      </c>
      <c r="M142" s="31">
        <v>73045.395999999993</v>
      </c>
      <c r="N142" s="31">
        <v>80794.554000000004</v>
      </c>
      <c r="O142" s="31">
        <v>88728.952999999994</v>
      </c>
      <c r="P142" s="31">
        <f t="shared" si="12"/>
        <v>2037960.6095901688</v>
      </c>
      <c r="Q142" s="31">
        <f t="shared" si="13"/>
        <v>2071843.9213579691</v>
      </c>
      <c r="R142" s="31">
        <f t="shared" si="14"/>
        <v>2164045.9428017852</v>
      </c>
      <c r="S142" s="30">
        <v>77.400002000000001</v>
      </c>
      <c r="T142" s="30">
        <v>81.599997999999999</v>
      </c>
      <c r="U142" s="30">
        <v>88.400002000000001</v>
      </c>
    </row>
    <row r="143" spans="2:23" x14ac:dyDescent="0.25">
      <c r="B143" s="32" t="s">
        <v>147</v>
      </c>
      <c r="C143" s="21" t="s">
        <v>419</v>
      </c>
      <c r="D143" s="21" t="s">
        <v>366</v>
      </c>
      <c r="E143" s="21"/>
      <c r="F143" s="20">
        <v>616</v>
      </c>
      <c r="G143" s="31">
        <v>10.551</v>
      </c>
      <c r="H143" s="31">
        <v>9.3719999999999999</v>
      </c>
      <c r="I143" s="31">
        <v>9.7919999999999998</v>
      </c>
      <c r="J143" s="31">
        <v>98.971800000000002</v>
      </c>
      <c r="K143" s="31">
        <v>99.275700000000001</v>
      </c>
      <c r="L143" s="31">
        <v>99.326899999999995</v>
      </c>
      <c r="M143" s="31">
        <v>38635.949000000001</v>
      </c>
      <c r="N143" s="31">
        <v>38263.798000000003</v>
      </c>
      <c r="O143" s="31">
        <v>38140.584000000003</v>
      </c>
      <c r="P143" s="31">
        <f t="shared" si="12"/>
        <v>403456.46221280255</v>
      </c>
      <c r="Q143" s="31">
        <f t="shared" si="13"/>
        <v>356010.91483149806</v>
      </c>
      <c r="R143" s="31">
        <f t="shared" si="14"/>
        <v>370958.754467308</v>
      </c>
      <c r="S143" s="30">
        <v>97.400002000000001</v>
      </c>
      <c r="T143" s="30">
        <v>98.599997999999999</v>
      </c>
      <c r="U143" s="30">
        <v>99</v>
      </c>
    </row>
    <row r="144" spans="2:23" x14ac:dyDescent="0.25">
      <c r="B144" s="32" t="s">
        <v>146</v>
      </c>
      <c r="C144" s="21" t="s">
        <v>418</v>
      </c>
      <c r="D144" s="21" t="s">
        <v>366</v>
      </c>
      <c r="E144" s="21"/>
      <c r="F144" s="20">
        <v>620</v>
      </c>
      <c r="G144" s="31">
        <v>10.981</v>
      </c>
      <c r="H144" s="31">
        <v>10.669</v>
      </c>
      <c r="I144" s="31">
        <v>9.8729999999999993</v>
      </c>
      <c r="J144" s="31">
        <v>99.365099999999998</v>
      </c>
      <c r="K144" s="31">
        <v>99.549000000000007</v>
      </c>
      <c r="L144" s="31">
        <v>99.583600000000004</v>
      </c>
      <c r="M144" s="31">
        <v>10094.799999999999</v>
      </c>
      <c r="N144" s="31">
        <v>10366.014999999999</v>
      </c>
      <c r="O144" s="31">
        <v>10599.322</v>
      </c>
      <c r="P144" s="31">
        <f t="shared" si="12"/>
        <v>110147.20580861878</v>
      </c>
      <c r="Q144" s="31">
        <f t="shared" si="13"/>
        <v>110096.23052170215</v>
      </c>
      <c r="R144" s="31">
        <f t="shared" si="14"/>
        <v>104211.3555561746</v>
      </c>
      <c r="S144" s="30">
        <v>95.199996999999996</v>
      </c>
      <c r="T144" s="30">
        <v>97</v>
      </c>
      <c r="U144" s="30">
        <v>96</v>
      </c>
    </row>
    <row r="145" spans="2:24" x14ac:dyDescent="0.25">
      <c r="B145" s="32" t="s">
        <v>417</v>
      </c>
      <c r="C145" s="21" t="s">
        <v>416</v>
      </c>
      <c r="D145" s="21"/>
      <c r="E145" s="21"/>
      <c r="F145" s="20">
        <v>630</v>
      </c>
      <c r="G145" s="31">
        <v>15.656000000000001</v>
      </c>
      <c r="H145" s="31">
        <v>13.773999999999999</v>
      </c>
      <c r="I145" s="31">
        <v>13.19</v>
      </c>
      <c r="J145" s="31">
        <v>98.9054</v>
      </c>
      <c r="K145" s="31">
        <v>99.189400000000006</v>
      </c>
      <c r="L145" s="31">
        <v>99.276300000000006</v>
      </c>
      <c r="M145" s="31"/>
      <c r="N145" s="31"/>
      <c r="O145" s="31"/>
      <c r="P145" s="31">
        <f t="shared" si="12"/>
        <v>0</v>
      </c>
      <c r="Q145" s="31">
        <f t="shared" si="13"/>
        <v>0</v>
      </c>
      <c r="R145" s="31">
        <f t="shared" si="14"/>
        <v>0</v>
      </c>
      <c r="S145" s="30"/>
      <c r="T145" s="30"/>
      <c r="U145" s="30"/>
    </row>
    <row r="146" spans="2:24" x14ac:dyDescent="0.25">
      <c r="B146" s="32" t="s">
        <v>145</v>
      </c>
      <c r="C146" s="21" t="s">
        <v>415</v>
      </c>
      <c r="D146" s="21" t="s">
        <v>366</v>
      </c>
      <c r="E146" s="21"/>
      <c r="F146" s="20">
        <v>634</v>
      </c>
      <c r="G146" s="31">
        <v>19.946999999999999</v>
      </c>
      <c r="H146" s="31">
        <v>15.704000000000001</v>
      </c>
      <c r="I146" s="31">
        <v>12.196999999999999</v>
      </c>
      <c r="J146" s="31">
        <v>98.711799999999997</v>
      </c>
      <c r="K146" s="31">
        <v>99.0244</v>
      </c>
      <c r="L146" s="31">
        <v>99.168999999999997</v>
      </c>
      <c r="M146" s="31">
        <v>554.45839999999998</v>
      </c>
      <c r="N146" s="31">
        <v>695.63159999999993</v>
      </c>
      <c r="O146" s="31">
        <v>1142.7768000000001</v>
      </c>
      <c r="P146" s="31">
        <f t="shared" si="12"/>
        <v>10917.309596878766</v>
      </c>
      <c r="Q146" s="31">
        <f t="shared" si="13"/>
        <v>10817.622164405722</v>
      </c>
      <c r="R146" s="31">
        <f t="shared" si="14"/>
        <v>13822.620121488024</v>
      </c>
      <c r="S146" s="30">
        <v>92.400002000000001</v>
      </c>
      <c r="T146" s="30">
        <v>91.400002000000001</v>
      </c>
      <c r="U146" s="30">
        <v>96.599997999999999</v>
      </c>
    </row>
    <row r="147" spans="2:24" x14ac:dyDescent="0.25">
      <c r="B147" s="32" t="s">
        <v>144</v>
      </c>
      <c r="C147" s="21" t="s">
        <v>414</v>
      </c>
      <c r="D147" s="21" t="s">
        <v>366</v>
      </c>
      <c r="E147" s="21"/>
      <c r="F147" s="20">
        <v>410</v>
      </c>
      <c r="G147" s="31">
        <v>13.679</v>
      </c>
      <c r="H147" s="31">
        <v>10.37</v>
      </c>
      <c r="I147" s="31">
        <v>9.4879999999999995</v>
      </c>
      <c r="J147" s="31">
        <v>99.283799999999999</v>
      </c>
      <c r="K147" s="31">
        <v>99.486800000000002</v>
      </c>
      <c r="L147" s="31">
        <v>99.556899999999999</v>
      </c>
      <c r="M147" s="31">
        <v>45895.199999999997</v>
      </c>
      <c r="N147" s="31">
        <v>47577</v>
      </c>
      <c r="O147" s="31">
        <v>48449</v>
      </c>
      <c r="P147" s="31">
        <f t="shared" si="12"/>
        <v>623304.13404299039</v>
      </c>
      <c r="Q147" s="31">
        <f t="shared" si="13"/>
        <v>490841.49724931997</v>
      </c>
      <c r="R147" s="31">
        <f t="shared" si="14"/>
        <v>457647.2516997279</v>
      </c>
      <c r="S147" s="30">
        <v>85.800003000000004</v>
      </c>
      <c r="T147" s="30">
        <v>95.599997999999999</v>
      </c>
      <c r="U147" s="30">
        <v>94.599997999999999</v>
      </c>
      <c r="V147" s="23"/>
      <c r="W147" s="23"/>
      <c r="X147" s="23"/>
    </row>
    <row r="148" spans="2:24" x14ac:dyDescent="0.25">
      <c r="B148" s="32" t="s">
        <v>143</v>
      </c>
      <c r="C148" s="21" t="s">
        <v>413</v>
      </c>
      <c r="D148" s="21" t="s">
        <v>356</v>
      </c>
      <c r="E148" s="21"/>
      <c r="F148" s="20">
        <v>498</v>
      </c>
      <c r="G148" s="31">
        <v>12.676</v>
      </c>
      <c r="H148" s="31">
        <v>11.522</v>
      </c>
      <c r="I148" s="31">
        <v>12.291</v>
      </c>
      <c r="J148" s="31">
        <v>97.551000000000002</v>
      </c>
      <c r="K148" s="31">
        <v>98.114599999999996</v>
      </c>
      <c r="L148" s="31">
        <v>98.205699999999993</v>
      </c>
      <c r="M148" s="31">
        <v>4258.1808000000001</v>
      </c>
      <c r="N148" s="31">
        <v>3960.2426</v>
      </c>
      <c r="O148" s="31">
        <v>3674.5042000000003</v>
      </c>
      <c r="P148" s="31">
        <f t="shared" si="12"/>
        <v>52654.810442188609</v>
      </c>
      <c r="Q148" s="31">
        <f t="shared" si="13"/>
        <v>44769.608815317835</v>
      </c>
      <c r="R148" s="31">
        <f t="shared" si="14"/>
        <v>44352.965471874362</v>
      </c>
      <c r="S148" s="30">
        <v>96.800003000000004</v>
      </c>
      <c r="T148" s="30">
        <v>97</v>
      </c>
      <c r="U148" s="30">
        <v>94.199996999999996</v>
      </c>
    </row>
    <row r="149" spans="2:24" x14ac:dyDescent="0.25">
      <c r="B149" s="32" t="s">
        <v>412</v>
      </c>
      <c r="C149" s="21" t="s">
        <v>411</v>
      </c>
      <c r="D149" s="21"/>
      <c r="E149" s="21"/>
      <c r="F149" s="20">
        <v>638</v>
      </c>
      <c r="G149" s="31">
        <v>20.053999999999998</v>
      </c>
      <c r="H149" s="31">
        <v>19.928000000000001</v>
      </c>
      <c r="I149" s="31">
        <v>18.55</v>
      </c>
      <c r="J149" s="31">
        <v>99.220200000000006</v>
      </c>
      <c r="K149" s="31">
        <v>99.284599999999998</v>
      </c>
      <c r="L149" s="31">
        <v>99.332599999999999</v>
      </c>
      <c r="M149" s="31"/>
      <c r="N149" s="31"/>
      <c r="O149" s="31"/>
      <c r="P149" s="31">
        <f t="shared" si="12"/>
        <v>0</v>
      </c>
      <c r="Q149" s="31">
        <f t="shared" si="13"/>
        <v>0</v>
      </c>
      <c r="R149" s="31">
        <f t="shared" si="14"/>
        <v>0</v>
      </c>
      <c r="S149" s="30"/>
      <c r="T149" s="30"/>
      <c r="U149" s="30"/>
    </row>
    <row r="150" spans="2:24" x14ac:dyDescent="0.25">
      <c r="B150" s="32" t="s">
        <v>142</v>
      </c>
      <c r="C150" s="21" t="s">
        <v>410</v>
      </c>
      <c r="D150" s="21"/>
      <c r="E150" s="21"/>
      <c r="F150" s="20">
        <v>642</v>
      </c>
      <c r="G150" s="31">
        <v>10.481999999999999</v>
      </c>
      <c r="H150" s="31">
        <v>10.035</v>
      </c>
      <c r="I150" s="31">
        <v>10.045</v>
      </c>
      <c r="J150" s="31">
        <v>97.932699999999997</v>
      </c>
      <c r="K150" s="31">
        <v>98.333100000000002</v>
      </c>
      <c r="L150" s="31">
        <v>98.537099999999995</v>
      </c>
      <c r="M150" s="31">
        <v>0</v>
      </c>
      <c r="N150" s="31">
        <v>0</v>
      </c>
      <c r="O150" s="31">
        <v>0</v>
      </c>
      <c r="P150" s="31">
        <f t="shared" si="12"/>
        <v>0</v>
      </c>
      <c r="Q150" s="31">
        <f t="shared" si="13"/>
        <v>0</v>
      </c>
      <c r="R150" s="31">
        <f t="shared" si="14"/>
        <v>0</v>
      </c>
      <c r="S150" s="30">
        <v>97.400002000000001</v>
      </c>
      <c r="T150" s="30">
        <v>98</v>
      </c>
      <c r="U150" s="30">
        <v>97</v>
      </c>
    </row>
    <row r="151" spans="2:24" x14ac:dyDescent="0.25">
      <c r="B151" s="32" t="s">
        <v>141</v>
      </c>
      <c r="C151" s="21" t="s">
        <v>409</v>
      </c>
      <c r="D151" s="21" t="s">
        <v>361</v>
      </c>
      <c r="E151" s="21"/>
      <c r="F151" s="20">
        <v>643</v>
      </c>
      <c r="G151" s="31">
        <v>8.9410000000000007</v>
      </c>
      <c r="H151" s="31">
        <v>9.8539999999999992</v>
      </c>
      <c r="I151" s="31">
        <v>10.827999999999999</v>
      </c>
      <c r="J151" s="31">
        <v>97.878799999999998</v>
      </c>
      <c r="K151" s="31">
        <v>98.268000000000001</v>
      </c>
      <c r="L151" s="31">
        <v>98.811800000000005</v>
      </c>
      <c r="M151" s="31">
        <v>147300</v>
      </c>
      <c r="N151" s="31">
        <v>145200</v>
      </c>
      <c r="O151" s="31">
        <v>142300</v>
      </c>
      <c r="P151" s="31">
        <f t="shared" si="12"/>
        <v>1289072.8987284</v>
      </c>
      <c r="Q151" s="31">
        <f t="shared" si="13"/>
        <v>1406019.3301439998</v>
      </c>
      <c r="R151" s="31">
        <f t="shared" si="14"/>
        <v>1522516.3244791999</v>
      </c>
      <c r="S151" s="30">
        <v>87.199996999999996</v>
      </c>
      <c r="T151" s="30">
        <v>96.599997999999999</v>
      </c>
      <c r="U151" s="30">
        <v>98.199996999999996</v>
      </c>
    </row>
    <row r="152" spans="2:24" x14ac:dyDescent="0.25">
      <c r="B152" s="32" t="s">
        <v>76</v>
      </c>
      <c r="C152" s="21" t="s">
        <v>408</v>
      </c>
      <c r="D152" s="21" t="s">
        <v>353</v>
      </c>
      <c r="E152" s="21"/>
      <c r="F152" s="20">
        <v>646</v>
      </c>
      <c r="G152" s="31">
        <v>40.304000000000002</v>
      </c>
      <c r="H152" s="31">
        <v>41.042000000000002</v>
      </c>
      <c r="I152" s="31">
        <v>41.033000000000001</v>
      </c>
      <c r="J152" s="31">
        <v>88.285399999999996</v>
      </c>
      <c r="K152" s="31">
        <v>89.135199999999998</v>
      </c>
      <c r="L152" s="31">
        <v>90.048000000000002</v>
      </c>
      <c r="M152" s="31">
        <v>6299.0322000000006</v>
      </c>
      <c r="N152" s="31">
        <v>8462.3379999999997</v>
      </c>
      <c r="O152" s="31">
        <v>9474.9958000000006</v>
      </c>
      <c r="P152" s="31">
        <f t="shared" si="12"/>
        <v>224135.61319121727</v>
      </c>
      <c r="Q152" s="31">
        <f t="shared" si="13"/>
        <v>309576.60065985698</v>
      </c>
      <c r="R152" s="31">
        <f t="shared" si="14"/>
        <v>350095.37039653747</v>
      </c>
      <c r="S152" s="30">
        <v>81.800003000000004</v>
      </c>
      <c r="T152" s="30">
        <v>88</v>
      </c>
      <c r="U152" s="30">
        <v>97</v>
      </c>
    </row>
    <row r="153" spans="2:24" x14ac:dyDescent="0.25">
      <c r="B153" s="32" t="s">
        <v>139</v>
      </c>
      <c r="C153" s="21" t="s">
        <v>407</v>
      </c>
      <c r="D153" s="21" t="s">
        <v>361</v>
      </c>
      <c r="E153" s="21"/>
      <c r="F153" s="20">
        <v>662</v>
      </c>
      <c r="G153" s="31">
        <v>21.523</v>
      </c>
      <c r="H153" s="31">
        <v>18.021000000000001</v>
      </c>
      <c r="I153" s="31">
        <v>18.048999999999999</v>
      </c>
      <c r="J153" s="31">
        <v>98.328599999999994</v>
      </c>
      <c r="K153" s="31">
        <v>98.535399999999996</v>
      </c>
      <c r="L153" s="31">
        <v>98.744100000000003</v>
      </c>
      <c r="M153" s="31">
        <v>149.56399999999999</v>
      </c>
      <c r="N153" s="31">
        <v>159.21600000000001</v>
      </c>
      <c r="O153" s="31">
        <v>168.45267999999999</v>
      </c>
      <c r="P153" s="31">
        <f t="shared" si="12"/>
        <v>3165.2625033439917</v>
      </c>
      <c r="Q153" s="31">
        <f t="shared" si="13"/>
        <v>2827.2087709237444</v>
      </c>
      <c r="R153" s="31">
        <f t="shared" si="14"/>
        <v>3002.2180073106415</v>
      </c>
      <c r="S153" s="30">
        <v>92.199996999999996</v>
      </c>
      <c r="T153" s="30">
        <v>86.800003000000004</v>
      </c>
      <c r="U153" s="30">
        <v>94</v>
      </c>
    </row>
    <row r="154" spans="2:24" x14ac:dyDescent="0.25">
      <c r="B154" s="32" t="s">
        <v>138</v>
      </c>
      <c r="C154" s="21" t="s">
        <v>406</v>
      </c>
      <c r="D154" s="21" t="s">
        <v>361</v>
      </c>
      <c r="E154" s="21"/>
      <c r="F154" s="20">
        <v>670</v>
      </c>
      <c r="G154" s="31">
        <v>21.420999999999999</v>
      </c>
      <c r="H154" s="31">
        <v>18.645</v>
      </c>
      <c r="I154" s="31">
        <v>17.725000000000001</v>
      </c>
      <c r="J154" s="31">
        <v>97.1755</v>
      </c>
      <c r="K154" s="31">
        <v>97.328500000000005</v>
      </c>
      <c r="L154" s="31">
        <v>97.672499999999999</v>
      </c>
      <c r="M154" s="31">
        <v>107.9472</v>
      </c>
      <c r="N154" s="31">
        <v>108.15560000000001</v>
      </c>
      <c r="O154" s="31">
        <v>108.9838</v>
      </c>
      <c r="P154" s="31">
        <f t="shared" si="12"/>
        <v>2247.0250134484559</v>
      </c>
      <c r="Q154" s="31">
        <f t="shared" si="13"/>
        <v>1962.6887305571704</v>
      </c>
      <c r="R154" s="31">
        <f t="shared" si="14"/>
        <v>1886.776656424875</v>
      </c>
      <c r="S154" s="30">
        <v>97.800003000000004</v>
      </c>
      <c r="T154" s="30">
        <v>99</v>
      </c>
      <c r="U154" s="30">
        <v>99</v>
      </c>
    </row>
    <row r="155" spans="2:24" x14ac:dyDescent="0.25">
      <c r="B155" s="32" t="s">
        <v>25</v>
      </c>
      <c r="C155" s="21" t="s">
        <v>405</v>
      </c>
      <c r="D155" s="21" t="s">
        <v>356</v>
      </c>
      <c r="E155" s="21"/>
      <c r="F155" s="20">
        <v>882</v>
      </c>
      <c r="G155" s="31">
        <v>32.055</v>
      </c>
      <c r="H155" s="31">
        <v>29.245999999999999</v>
      </c>
      <c r="I155" s="31">
        <v>23.763999999999999</v>
      </c>
      <c r="J155" s="31">
        <v>97.009699999999995</v>
      </c>
      <c r="K155" s="31">
        <v>97.427099999999996</v>
      </c>
      <c r="L155" s="31">
        <v>97.767600000000002</v>
      </c>
      <c r="M155" s="31">
        <v>171.80960000000002</v>
      </c>
      <c r="N155" s="31">
        <v>177.93879999999999</v>
      </c>
      <c r="O155" s="31">
        <v>178.92660000000001</v>
      </c>
      <c r="P155" s="31">
        <f t="shared" si="12"/>
        <v>5342.6702397626159</v>
      </c>
      <c r="Q155" s="31">
        <f t="shared" si="13"/>
        <v>5070.1044765324395</v>
      </c>
      <c r="R155" s="31">
        <f t="shared" si="14"/>
        <v>4157.0898127091432</v>
      </c>
      <c r="S155" s="30">
        <v>96.400002000000001</v>
      </c>
      <c r="T155" s="30">
        <v>90</v>
      </c>
      <c r="U155" s="30">
        <v>61.799999</v>
      </c>
    </row>
    <row r="156" spans="2:24" x14ac:dyDescent="0.25">
      <c r="B156" s="32" t="s">
        <v>108</v>
      </c>
      <c r="C156" s="21" t="s">
        <v>404</v>
      </c>
      <c r="D156" s="21" t="s">
        <v>859</v>
      </c>
      <c r="E156" s="21"/>
      <c r="F156" s="20">
        <v>678</v>
      </c>
      <c r="G156" s="31">
        <v>36.017000000000003</v>
      </c>
      <c r="H156" s="31">
        <v>34.869999999999997</v>
      </c>
      <c r="I156" s="31">
        <v>32.399000000000001</v>
      </c>
      <c r="J156" s="31">
        <v>91.9268</v>
      </c>
      <c r="K156" s="31">
        <v>92.319100000000006</v>
      </c>
      <c r="L156" s="31">
        <v>92.7761</v>
      </c>
      <c r="M156" s="31">
        <v>132.78039999999999</v>
      </c>
      <c r="N156" s="31">
        <v>145.11520000000002</v>
      </c>
      <c r="O156" s="31">
        <v>157.66279999999998</v>
      </c>
      <c r="P156" s="31">
        <f t="shared" si="12"/>
        <v>4396.2628520359021</v>
      </c>
      <c r="Q156" s="31">
        <f t="shared" si="13"/>
        <v>4671.5006550535845</v>
      </c>
      <c r="R156" s="31">
        <f t="shared" si="14"/>
        <v>4739.1117891049289</v>
      </c>
      <c r="S156" s="30">
        <v>74.199996999999996</v>
      </c>
      <c r="T156" s="30">
        <v>91.199996999999996</v>
      </c>
      <c r="U156" s="30">
        <v>97.599997999999999</v>
      </c>
      <c r="V156" s="23"/>
      <c r="W156" s="23"/>
      <c r="X156" s="23"/>
    </row>
    <row r="157" spans="2:24" x14ac:dyDescent="0.25">
      <c r="B157" s="32" t="s">
        <v>136</v>
      </c>
      <c r="C157" s="21" t="s">
        <v>403</v>
      </c>
      <c r="D157" s="21" t="s">
        <v>366</v>
      </c>
      <c r="E157" s="21"/>
      <c r="F157" s="20">
        <v>682</v>
      </c>
      <c r="G157" s="31">
        <v>29.452999999999999</v>
      </c>
      <c r="H157" s="31">
        <v>26.510999999999999</v>
      </c>
      <c r="I157" s="31">
        <v>23.568999999999999</v>
      </c>
      <c r="J157" s="31">
        <v>97.397400000000005</v>
      </c>
      <c r="K157" s="31">
        <v>97.759799999999998</v>
      </c>
      <c r="L157" s="31">
        <v>98.117500000000007</v>
      </c>
      <c r="M157" s="31">
        <v>19222.741999999998</v>
      </c>
      <c r="N157" s="31">
        <v>21576.436000000002</v>
      </c>
      <c r="O157" s="31">
        <v>24246.460999999999</v>
      </c>
      <c r="P157" s="31">
        <f t="shared" si="12"/>
        <v>551432.34684980067</v>
      </c>
      <c r="Q157" s="31">
        <f t="shared" si="13"/>
        <v>559198.66192678001</v>
      </c>
      <c r="R157" s="31">
        <f t="shared" si="14"/>
        <v>560707.013709008</v>
      </c>
      <c r="S157" s="30">
        <v>93.599997999999999</v>
      </c>
      <c r="T157" s="30">
        <v>95.599997999999999</v>
      </c>
      <c r="U157" s="30">
        <v>96.800003000000004</v>
      </c>
    </row>
    <row r="158" spans="2:24" x14ac:dyDescent="0.25">
      <c r="B158" s="32" t="s">
        <v>23</v>
      </c>
      <c r="C158" s="21" t="s">
        <v>402</v>
      </c>
      <c r="D158" s="21" t="s">
        <v>859</v>
      </c>
      <c r="E158" s="21"/>
      <c r="F158" s="20">
        <v>686</v>
      </c>
      <c r="G158" s="31">
        <v>41.360999999999997</v>
      </c>
      <c r="H158" s="31">
        <v>39.564999999999998</v>
      </c>
      <c r="I158" s="31">
        <v>38.776000000000003</v>
      </c>
      <c r="J158" s="31">
        <v>93.352999999999994</v>
      </c>
      <c r="K158" s="31">
        <v>93.805800000000005</v>
      </c>
      <c r="L158" s="31">
        <v>94.161100000000005</v>
      </c>
      <c r="M158" s="31">
        <v>9146.6630000000005</v>
      </c>
      <c r="N158" s="31">
        <v>10439.118</v>
      </c>
      <c r="O158" s="31">
        <v>11900.581</v>
      </c>
      <c r="P158" s="31">
        <f t="shared" si="12"/>
        <v>353168.52176204079</v>
      </c>
      <c r="Q158" s="31">
        <f t="shared" si="13"/>
        <v>387440.18941727286</v>
      </c>
      <c r="R158" s="31">
        <f t="shared" si="14"/>
        <v>434512.92023702711</v>
      </c>
      <c r="S158" s="30">
        <v>65.599997999999999</v>
      </c>
      <c r="T158" s="30">
        <v>64.800003000000004</v>
      </c>
      <c r="U158" s="30">
        <v>88.199996999999996</v>
      </c>
    </row>
    <row r="159" spans="2:24" x14ac:dyDescent="0.25">
      <c r="B159" s="32" t="s">
        <v>135</v>
      </c>
      <c r="C159" s="21" t="s">
        <v>401</v>
      </c>
      <c r="D159" s="21" t="s">
        <v>361</v>
      </c>
      <c r="E159" s="21"/>
      <c r="F159" s="20">
        <v>688</v>
      </c>
      <c r="G159" s="31">
        <v>12.22</v>
      </c>
      <c r="H159" s="31">
        <v>12.295</v>
      </c>
      <c r="I159" s="31">
        <v>11.612</v>
      </c>
      <c r="J159" s="31">
        <v>98.515299999999996</v>
      </c>
      <c r="K159" s="31">
        <v>98.697800000000001</v>
      </c>
      <c r="L159" s="31">
        <v>98.826700000000002</v>
      </c>
      <c r="M159" s="31"/>
      <c r="N159" s="31"/>
      <c r="O159" s="31"/>
      <c r="P159" s="31">
        <f t="shared" si="12"/>
        <v>0</v>
      </c>
      <c r="Q159" s="31">
        <f t="shared" si="13"/>
        <v>0</v>
      </c>
      <c r="R159" s="31">
        <f t="shared" si="14"/>
        <v>0</v>
      </c>
      <c r="S159" s="30"/>
      <c r="T159" s="30"/>
      <c r="U159" s="30"/>
    </row>
    <row r="160" spans="2:24" x14ac:dyDescent="0.25">
      <c r="B160" s="32" t="s">
        <v>75</v>
      </c>
      <c r="C160" s="21" t="s">
        <v>400</v>
      </c>
      <c r="D160" s="21" t="s">
        <v>353</v>
      </c>
      <c r="E160" s="21"/>
      <c r="F160" s="20">
        <v>694</v>
      </c>
      <c r="G160" s="31">
        <v>42.664000000000001</v>
      </c>
      <c r="H160" s="31">
        <v>41.929000000000002</v>
      </c>
      <c r="I160" s="31">
        <v>40.441000000000003</v>
      </c>
      <c r="J160" s="31">
        <v>84.985600000000005</v>
      </c>
      <c r="K160" s="31">
        <v>89.023700000000005</v>
      </c>
      <c r="L160" s="31">
        <v>89.585599999999999</v>
      </c>
      <c r="M160" s="31">
        <v>4033.14</v>
      </c>
      <c r="N160" s="31">
        <v>4558.9457999999995</v>
      </c>
      <c r="O160" s="31">
        <v>5410.9</v>
      </c>
      <c r="P160" s="31">
        <f t="shared" si="12"/>
        <v>146234.62415256575</v>
      </c>
      <c r="Q160" s="31">
        <f t="shared" si="13"/>
        <v>170170.61725201021</v>
      </c>
      <c r="R160" s="31">
        <f t="shared" si="14"/>
        <v>196033.18698460638</v>
      </c>
      <c r="S160" s="30">
        <v>43</v>
      </c>
      <c r="T160" s="30">
        <v>54.599997999999999</v>
      </c>
      <c r="U160" s="30">
        <v>68</v>
      </c>
    </row>
    <row r="161" spans="2:24" x14ac:dyDescent="0.25">
      <c r="B161" s="32" t="s">
        <v>133</v>
      </c>
      <c r="C161" s="21" t="s">
        <v>399</v>
      </c>
      <c r="D161" s="21" t="s">
        <v>366</v>
      </c>
      <c r="E161" s="21"/>
      <c r="F161" s="20">
        <v>702</v>
      </c>
      <c r="G161" s="31">
        <v>13.954000000000001</v>
      </c>
      <c r="H161" s="31">
        <v>10.172000000000001</v>
      </c>
      <c r="I161" s="31">
        <v>8.1910000000000007</v>
      </c>
      <c r="J161" s="31">
        <v>99.645399999999995</v>
      </c>
      <c r="K161" s="31">
        <v>99.702299999999994</v>
      </c>
      <c r="L161" s="31">
        <v>99.697000000000003</v>
      </c>
      <c r="M161" s="31">
        <v>3775.42</v>
      </c>
      <c r="N161" s="31">
        <v>4124.68</v>
      </c>
      <c r="O161" s="31">
        <v>4616.5600000000004</v>
      </c>
      <c r="P161" s="31">
        <f t="shared" si="12"/>
        <v>52495.399560928716</v>
      </c>
      <c r="Q161" s="31">
        <f t="shared" si="13"/>
        <v>41831.341218754082</v>
      </c>
      <c r="R161" s="31">
        <f t="shared" si="14"/>
        <v>37699.665803831209</v>
      </c>
      <c r="S161" s="30">
        <v>97.400002000000001</v>
      </c>
      <c r="T161" s="30">
        <v>95.800003000000004</v>
      </c>
      <c r="U161" s="30">
        <v>96.199996999999996</v>
      </c>
    </row>
    <row r="162" spans="2:24" x14ac:dyDescent="0.25">
      <c r="B162" s="32" t="s">
        <v>132</v>
      </c>
      <c r="C162" s="21" t="s">
        <v>398</v>
      </c>
      <c r="D162" s="21" t="s">
        <v>366</v>
      </c>
      <c r="E162" s="21"/>
      <c r="F162" s="20">
        <v>703</v>
      </c>
      <c r="G162" s="31">
        <v>10.821999999999999</v>
      </c>
      <c r="H162" s="31">
        <v>9.6609999999999996</v>
      </c>
      <c r="I162" s="31">
        <v>10.176</v>
      </c>
      <c r="J162" s="31">
        <v>99.073700000000002</v>
      </c>
      <c r="K162" s="31">
        <v>99.259299999999996</v>
      </c>
      <c r="L162" s="31">
        <v>99.308300000000003</v>
      </c>
      <c r="M162" s="31">
        <v>5381.2947999999997</v>
      </c>
      <c r="N162" s="31">
        <v>5381.7680999999993</v>
      </c>
      <c r="O162" s="31">
        <v>5400.1017999999995</v>
      </c>
      <c r="P162" s="31">
        <f t="shared" si="12"/>
        <v>57696.928808747958</v>
      </c>
      <c r="Q162" s="31">
        <f t="shared" si="13"/>
        <v>51608.147525324348</v>
      </c>
      <c r="R162" s="31">
        <f t="shared" si="14"/>
        <v>54571.336834563495</v>
      </c>
      <c r="S162" s="30">
        <v>99</v>
      </c>
      <c r="T162" s="30">
        <v>99</v>
      </c>
      <c r="U162" s="30">
        <v>99</v>
      </c>
    </row>
    <row r="163" spans="2:24" x14ac:dyDescent="0.25">
      <c r="B163" s="32" t="s">
        <v>131</v>
      </c>
      <c r="C163" s="21" t="s">
        <v>397</v>
      </c>
      <c r="D163" s="21" t="s">
        <v>366</v>
      </c>
      <c r="E163" s="21"/>
      <c r="F163" s="20">
        <v>705</v>
      </c>
      <c r="G163" s="31">
        <v>9.1590000000000007</v>
      </c>
      <c r="H163" s="31">
        <v>8.8640000000000008</v>
      </c>
      <c r="I163" s="31">
        <v>9.6280000000000001</v>
      </c>
      <c r="J163" s="31">
        <v>99.503100000000003</v>
      </c>
      <c r="K163" s="31">
        <v>99.588800000000006</v>
      </c>
      <c r="L163" s="31">
        <v>99.625600000000006</v>
      </c>
      <c r="M163" s="31">
        <v>1987.0111999999999</v>
      </c>
      <c r="N163" s="31">
        <v>1993.54</v>
      </c>
      <c r="O163" s="31">
        <v>2018.0093999999999</v>
      </c>
      <c r="P163" s="31">
        <f t="shared" si="12"/>
        <v>18108.604572999007</v>
      </c>
      <c r="Q163" s="31">
        <f t="shared" si="13"/>
        <v>17598.076483041285</v>
      </c>
      <c r="R163" s="31">
        <f t="shared" si="14"/>
        <v>19356.650850180024</v>
      </c>
      <c r="S163" s="30">
        <v>94.599997999999999</v>
      </c>
      <c r="T163" s="30">
        <v>93</v>
      </c>
      <c r="U163" s="30">
        <v>96.400002000000001</v>
      </c>
    </row>
    <row r="164" spans="2:24" x14ac:dyDescent="0.25">
      <c r="B164" s="32" t="s">
        <v>74</v>
      </c>
      <c r="C164" s="21" t="s">
        <v>396</v>
      </c>
      <c r="D164" s="21" t="s">
        <v>356</v>
      </c>
      <c r="E164" s="21"/>
      <c r="F164" s="20">
        <v>90</v>
      </c>
      <c r="G164" s="31">
        <v>36.326000000000001</v>
      </c>
      <c r="H164" s="31">
        <v>33.527999999999999</v>
      </c>
      <c r="I164" s="31">
        <v>30.79</v>
      </c>
      <c r="J164" s="31">
        <v>93.362899999999996</v>
      </c>
      <c r="K164" s="31">
        <v>94.521299999999997</v>
      </c>
      <c r="L164" s="31">
        <v>95.569400000000002</v>
      </c>
      <c r="M164" s="31">
        <v>382.93119999999999</v>
      </c>
      <c r="N164" s="31">
        <v>438.48700000000002</v>
      </c>
      <c r="O164" s="31">
        <v>498.35340000000002</v>
      </c>
      <c r="P164" s="31">
        <f t="shared" si="12"/>
        <v>12987.114349196683</v>
      </c>
      <c r="Q164" s="31">
        <f t="shared" si="13"/>
        <v>13896.136007644967</v>
      </c>
      <c r="R164" s="31">
        <f t="shared" si="14"/>
        <v>14664.456577653084</v>
      </c>
      <c r="S164" s="30">
        <v>73.599997999999999</v>
      </c>
      <c r="T164" s="30">
        <v>77.400002000000001</v>
      </c>
      <c r="U164" s="30">
        <v>81.400002000000001</v>
      </c>
    </row>
    <row r="165" spans="2:24" x14ac:dyDescent="0.25">
      <c r="B165" s="32" t="s">
        <v>130</v>
      </c>
      <c r="C165" s="21" t="s">
        <v>395</v>
      </c>
      <c r="D165" s="21" t="s">
        <v>353</v>
      </c>
      <c r="E165" s="21"/>
      <c r="F165" s="20">
        <v>706</v>
      </c>
      <c r="G165" s="31">
        <v>45.914999999999999</v>
      </c>
      <c r="H165" s="31">
        <v>45.655000000000001</v>
      </c>
      <c r="I165" s="31">
        <v>44.238999999999997</v>
      </c>
      <c r="J165" s="31">
        <v>87.753900000000002</v>
      </c>
      <c r="K165" s="31">
        <v>88.951599999999999</v>
      </c>
      <c r="L165" s="31">
        <v>89.054100000000005</v>
      </c>
      <c r="M165" s="31">
        <v>6819.1210000000001</v>
      </c>
      <c r="N165" s="31">
        <v>7781.6035999999995</v>
      </c>
      <c r="O165" s="31">
        <v>8737.9591999999993</v>
      </c>
      <c r="P165" s="31">
        <f t="shared" ref="P165:P200" si="15">+M165*G165*J165/100</f>
        <v>274757.40887510037</v>
      </c>
      <c r="Q165" s="31">
        <f t="shared" ref="Q165:Q200" si="16">+N165*H165*K165/100</f>
        <v>316017.55974823871</v>
      </c>
      <c r="R165" s="31">
        <f t="shared" ref="R165:R200" si="17">+O165*I165*L165/100</f>
        <v>344246.26176361536</v>
      </c>
      <c r="S165" s="30">
        <v>25.200001</v>
      </c>
      <c r="T165" s="30">
        <v>35.200001</v>
      </c>
      <c r="U165" s="30">
        <v>34.200001</v>
      </c>
    </row>
    <row r="166" spans="2:24" x14ac:dyDescent="0.25">
      <c r="B166" s="32" t="s">
        <v>129</v>
      </c>
      <c r="C166" s="21" t="s">
        <v>394</v>
      </c>
      <c r="D166" s="21" t="s">
        <v>361</v>
      </c>
      <c r="E166" s="21"/>
      <c r="F166" s="20">
        <v>710</v>
      </c>
      <c r="G166" s="31">
        <v>25.212</v>
      </c>
      <c r="H166" s="31">
        <v>24.201000000000001</v>
      </c>
      <c r="I166" s="31">
        <v>22.113</v>
      </c>
      <c r="J166" s="31">
        <v>94.327200000000005</v>
      </c>
      <c r="K166" s="31">
        <v>94.094800000000006</v>
      </c>
      <c r="L166" s="31">
        <v>95.088800000000006</v>
      </c>
      <c r="M166" s="31">
        <v>40973.894999999997</v>
      </c>
      <c r="N166" s="31">
        <v>45444.858999999997</v>
      </c>
      <c r="O166" s="31">
        <v>48259.974000000002</v>
      </c>
      <c r="P166" s="31">
        <f t="shared" si="15"/>
        <v>974431.89702250122</v>
      </c>
      <c r="Q166" s="31">
        <f t="shared" si="16"/>
        <v>1034864.9915584208</v>
      </c>
      <c r="R166" s="31">
        <f t="shared" si="17"/>
        <v>1014761.8142597951</v>
      </c>
      <c r="S166" s="30">
        <v>74</v>
      </c>
      <c r="T166" s="30">
        <v>70.400002000000001</v>
      </c>
      <c r="U166" s="30">
        <v>69</v>
      </c>
    </row>
    <row r="167" spans="2:24" x14ac:dyDescent="0.25">
      <c r="B167" s="32" t="s">
        <v>128</v>
      </c>
      <c r="C167" s="21" t="s">
        <v>393</v>
      </c>
      <c r="D167" s="21" t="s">
        <v>366</v>
      </c>
      <c r="E167" s="21"/>
      <c r="F167" s="20">
        <v>724</v>
      </c>
      <c r="G167" s="31">
        <v>9.3339999999999996</v>
      </c>
      <c r="H167" s="31">
        <v>10.297000000000001</v>
      </c>
      <c r="I167" s="31">
        <v>11.016</v>
      </c>
      <c r="J167" s="31">
        <v>99.501499999999993</v>
      </c>
      <c r="K167" s="31">
        <v>99.590299999999999</v>
      </c>
      <c r="L167" s="31">
        <v>99.608999999999995</v>
      </c>
      <c r="M167" s="31">
        <v>39618.980000000003</v>
      </c>
      <c r="N167" s="31">
        <v>41398.75</v>
      </c>
      <c r="O167" s="31">
        <v>44781.385000000002</v>
      </c>
      <c r="P167" s="31">
        <f t="shared" si="15"/>
        <v>367960.08857678977</v>
      </c>
      <c r="Q167" s="31">
        <f t="shared" si="16"/>
        <v>424536.44759091124</v>
      </c>
      <c r="R167" s="31">
        <f t="shared" si="17"/>
        <v>491382.8882677044</v>
      </c>
      <c r="S167" s="30">
        <v>92.800003000000004</v>
      </c>
      <c r="T167" s="30">
        <v>96.800003000000004</v>
      </c>
      <c r="U167" s="30">
        <v>96.599997999999999</v>
      </c>
    </row>
    <row r="168" spans="2:24" x14ac:dyDescent="0.25">
      <c r="B168" s="32" t="s">
        <v>22</v>
      </c>
      <c r="C168" s="21" t="s">
        <v>392</v>
      </c>
      <c r="D168" s="21" t="s">
        <v>356</v>
      </c>
      <c r="E168" s="21"/>
      <c r="F168" s="20">
        <v>144</v>
      </c>
      <c r="G168" s="31">
        <v>17.815999999999999</v>
      </c>
      <c r="H168" s="31">
        <v>18.809000000000001</v>
      </c>
      <c r="I168" s="31">
        <v>18.286999999999999</v>
      </c>
      <c r="J168" s="31">
        <v>98.021699999999996</v>
      </c>
      <c r="K168" s="31">
        <v>98.263099999999994</v>
      </c>
      <c r="L168" s="31">
        <v>98.413600000000002</v>
      </c>
      <c r="M168" s="31">
        <v>18359.550999999999</v>
      </c>
      <c r="N168" s="31">
        <v>19013.342000000001</v>
      </c>
      <c r="O168" s="31">
        <v>20004.736000000001</v>
      </c>
      <c r="P168" s="31">
        <f t="shared" si="15"/>
        <v>320622.86474973365</v>
      </c>
      <c r="Q168" s="31">
        <f t="shared" si="16"/>
        <v>351410.4140340428</v>
      </c>
      <c r="R168" s="31">
        <f t="shared" si="17"/>
        <v>360023.13393487153</v>
      </c>
      <c r="S168" s="30">
        <v>95</v>
      </c>
      <c r="T168" s="30">
        <v>98.400002000000001</v>
      </c>
      <c r="U168" s="30">
        <v>98</v>
      </c>
    </row>
    <row r="169" spans="2:24" x14ac:dyDescent="0.25">
      <c r="B169" s="32" t="s">
        <v>21</v>
      </c>
      <c r="C169" s="21" t="s">
        <v>391</v>
      </c>
      <c r="D169" s="21" t="s">
        <v>859</v>
      </c>
      <c r="E169" s="21"/>
      <c r="F169" s="20">
        <v>736</v>
      </c>
      <c r="G169" s="31">
        <v>38.055999999999997</v>
      </c>
      <c r="H169" s="31">
        <v>34.517000000000003</v>
      </c>
      <c r="I169" s="31">
        <v>31.616</v>
      </c>
      <c r="J169" s="31">
        <v>91.898600000000002</v>
      </c>
      <c r="K169" s="31">
        <v>92.67</v>
      </c>
      <c r="L169" s="31">
        <v>93.091700000000003</v>
      </c>
      <c r="M169" s="31">
        <v>32474.608</v>
      </c>
      <c r="N169" s="31">
        <v>36403.968999999997</v>
      </c>
      <c r="O169" s="31">
        <v>40459.197999999997</v>
      </c>
      <c r="P169" s="31">
        <f t="shared" si="15"/>
        <v>1135732.2318505633</v>
      </c>
      <c r="Q169" s="31">
        <f t="shared" si="16"/>
        <v>1164450.2579815791</v>
      </c>
      <c r="R169" s="31">
        <f t="shared" si="17"/>
        <v>1190789.9315798786</v>
      </c>
      <c r="S169" s="30">
        <v>52</v>
      </c>
      <c r="T169" s="30">
        <v>66.199996999999996</v>
      </c>
      <c r="U169" s="30">
        <v>82</v>
      </c>
    </row>
    <row r="170" spans="2:24" x14ac:dyDescent="0.25">
      <c r="B170" s="32" t="s">
        <v>127</v>
      </c>
      <c r="C170" s="21" t="s">
        <v>390</v>
      </c>
      <c r="D170" s="21" t="s">
        <v>361</v>
      </c>
      <c r="E170" s="21"/>
      <c r="F170" s="20">
        <v>740</v>
      </c>
      <c r="G170" s="31">
        <v>23.613</v>
      </c>
      <c r="H170" s="31">
        <v>21.04</v>
      </c>
      <c r="I170" s="31">
        <v>19.120999999999999</v>
      </c>
      <c r="J170" s="31">
        <v>97.138800000000003</v>
      </c>
      <c r="K170" s="31">
        <v>97.625200000000007</v>
      </c>
      <c r="L170" s="31">
        <v>97.782399999999996</v>
      </c>
      <c r="M170" s="31">
        <v>448.13259999999997</v>
      </c>
      <c r="N170" s="31">
        <v>480.52279999999996</v>
      </c>
      <c r="O170" s="31">
        <v>510.05440000000004</v>
      </c>
      <c r="P170" s="31">
        <f t="shared" si="15"/>
        <v>10278.989907342313</v>
      </c>
      <c r="Q170" s="31">
        <f t="shared" si="16"/>
        <v>9870.1026892394239</v>
      </c>
      <c r="R170" s="31">
        <f t="shared" si="17"/>
        <v>9536.4731943550978</v>
      </c>
      <c r="S170" s="30">
        <v>85</v>
      </c>
      <c r="T170" s="30">
        <v>74.400002000000001</v>
      </c>
      <c r="U170" s="30">
        <v>84.599997999999999</v>
      </c>
    </row>
    <row r="171" spans="2:24" x14ac:dyDescent="0.25">
      <c r="B171" s="32" t="s">
        <v>20</v>
      </c>
      <c r="C171" s="21" t="s">
        <v>389</v>
      </c>
      <c r="D171" s="21" t="s">
        <v>356</v>
      </c>
      <c r="E171" s="21"/>
      <c r="F171" s="20">
        <v>748</v>
      </c>
      <c r="G171" s="31">
        <v>34.331000000000003</v>
      </c>
      <c r="H171" s="31">
        <v>31.905000000000001</v>
      </c>
      <c r="I171" s="31">
        <v>30.013999999999999</v>
      </c>
      <c r="J171" s="31">
        <v>92.306799999999996</v>
      </c>
      <c r="K171" s="31">
        <v>91.779399999999995</v>
      </c>
      <c r="L171" s="31">
        <v>93.429199999999994</v>
      </c>
      <c r="M171" s="31">
        <v>1016.1052</v>
      </c>
      <c r="N171" s="31">
        <v>1099.2343999999998</v>
      </c>
      <c r="O171" s="31">
        <v>1153.0581999999999</v>
      </c>
      <c r="P171" s="31">
        <f t="shared" si="15"/>
        <v>32200.218840085839</v>
      </c>
      <c r="Q171" s="31">
        <f t="shared" si="16"/>
        <v>32188.0208612284</v>
      </c>
      <c r="R171" s="31">
        <f t="shared" si="17"/>
        <v>32333.87365655712</v>
      </c>
      <c r="S171" s="30">
        <v>83</v>
      </c>
      <c r="T171" s="30">
        <v>90.199996999999996</v>
      </c>
      <c r="U171" s="30">
        <v>95</v>
      </c>
    </row>
    <row r="172" spans="2:24" x14ac:dyDescent="0.25">
      <c r="B172" s="32" t="s">
        <v>126</v>
      </c>
      <c r="C172" s="21" t="s">
        <v>388</v>
      </c>
      <c r="D172" s="21" t="s">
        <v>366</v>
      </c>
      <c r="E172" s="21"/>
      <c r="F172" s="20">
        <v>752</v>
      </c>
      <c r="G172" s="31">
        <v>10.340999999999999</v>
      </c>
      <c r="H172" s="31">
        <v>10.837999999999999</v>
      </c>
      <c r="I172" s="31">
        <v>11.72</v>
      </c>
      <c r="J172" s="31">
        <v>99.667599999999993</v>
      </c>
      <c r="K172" s="31">
        <v>99.681600000000003</v>
      </c>
      <c r="L172" s="31">
        <v>99.693100000000001</v>
      </c>
      <c r="M172" s="31">
        <v>8846.5274000000009</v>
      </c>
      <c r="N172" s="31">
        <v>8926.9988000000012</v>
      </c>
      <c r="O172" s="31">
        <v>9154.8793999999998</v>
      </c>
      <c r="P172" s="31">
        <f t="shared" si="15"/>
        <v>91177.853875360524</v>
      </c>
      <c r="Q172" s="31">
        <f t="shared" si="16"/>
        <v>96442.758405825851</v>
      </c>
      <c r="R172" s="31">
        <f t="shared" si="17"/>
        <v>106965.8976404228</v>
      </c>
      <c r="S172" s="30">
        <v>99</v>
      </c>
      <c r="T172" s="30">
        <v>99</v>
      </c>
      <c r="U172" s="30">
        <v>98</v>
      </c>
      <c r="V172" s="23"/>
      <c r="W172" s="23"/>
      <c r="X172" s="23"/>
    </row>
    <row r="173" spans="2:24" x14ac:dyDescent="0.25">
      <c r="B173" s="32" t="s">
        <v>125</v>
      </c>
      <c r="C173" s="21" t="s">
        <v>387</v>
      </c>
      <c r="D173" s="21" t="s">
        <v>366</v>
      </c>
      <c r="E173" s="21"/>
      <c r="F173" s="20">
        <v>756</v>
      </c>
      <c r="G173" s="31">
        <v>11.010999999999999</v>
      </c>
      <c r="H173" s="31">
        <v>9.9480000000000004</v>
      </c>
      <c r="I173" s="31">
        <v>9.69</v>
      </c>
      <c r="J173" s="31">
        <v>99.526799999999994</v>
      </c>
      <c r="K173" s="31">
        <v>99.563199999999995</v>
      </c>
      <c r="L173" s="31">
        <v>99.590900000000005</v>
      </c>
      <c r="M173" s="31">
        <v>7090.6</v>
      </c>
      <c r="N173" s="31">
        <v>7285.4526999999998</v>
      </c>
      <c r="O173" s="31">
        <v>7570.1985999999997</v>
      </c>
      <c r="P173" s="31">
        <f t="shared" si="15"/>
        <v>77705.147608888801</v>
      </c>
      <c r="Q173" s="31">
        <f t="shared" si="16"/>
        <v>72159.109674248466</v>
      </c>
      <c r="R173" s="31">
        <f t="shared" si="17"/>
        <v>73055.128210840499</v>
      </c>
      <c r="S173" s="30">
        <v>88.599997999999999</v>
      </c>
      <c r="T173" s="30">
        <v>92</v>
      </c>
      <c r="U173" s="30">
        <v>94.400002000000001</v>
      </c>
    </row>
    <row r="174" spans="2:24" x14ac:dyDescent="0.25">
      <c r="B174" s="32" t="s">
        <v>19</v>
      </c>
      <c r="C174" s="21" t="s">
        <v>386</v>
      </c>
      <c r="D174" s="21" t="s">
        <v>356</v>
      </c>
      <c r="E174" s="21"/>
      <c r="F174" s="20">
        <v>760</v>
      </c>
      <c r="G174" s="31">
        <v>29.981999999999999</v>
      </c>
      <c r="H174" s="31">
        <v>29.515000000000001</v>
      </c>
      <c r="I174" s="31">
        <v>28.231000000000002</v>
      </c>
      <c r="J174" s="31">
        <v>97.652100000000004</v>
      </c>
      <c r="K174" s="31">
        <v>98.143100000000004</v>
      </c>
      <c r="L174" s="31">
        <v>98.399299999999997</v>
      </c>
      <c r="M174" s="31">
        <v>15341.968999999999</v>
      </c>
      <c r="N174" s="31">
        <v>17474.672999999999</v>
      </c>
      <c r="O174" s="31">
        <v>20094.776999999998</v>
      </c>
      <c r="P174" s="31">
        <f t="shared" si="15"/>
        <v>449182.97570709273</v>
      </c>
      <c r="Q174" s="31">
        <f t="shared" si="16"/>
        <v>506187.73380031443</v>
      </c>
      <c r="R174" s="31">
        <f t="shared" si="17"/>
        <v>558214.94802566152</v>
      </c>
      <c r="S174" s="30">
        <v>87</v>
      </c>
      <c r="T174" s="30">
        <v>82.800003000000004</v>
      </c>
      <c r="U174" s="30">
        <v>80</v>
      </c>
    </row>
    <row r="175" spans="2:24" x14ac:dyDescent="0.25">
      <c r="B175" s="32" t="s">
        <v>72</v>
      </c>
      <c r="C175" s="21" t="s">
        <v>385</v>
      </c>
      <c r="D175" s="21" t="s">
        <v>353</v>
      </c>
      <c r="E175" s="21"/>
      <c r="F175" s="20">
        <v>762</v>
      </c>
      <c r="G175" s="31">
        <v>32.706000000000003</v>
      </c>
      <c r="H175" s="31">
        <v>29.405999999999999</v>
      </c>
      <c r="I175" s="31">
        <v>28.138999999999999</v>
      </c>
      <c r="J175" s="31">
        <v>92.041499999999999</v>
      </c>
      <c r="K175" s="31">
        <v>93.6982</v>
      </c>
      <c r="L175" s="31">
        <v>93.983699999999999</v>
      </c>
      <c r="M175" s="31">
        <v>5938.9875999999995</v>
      </c>
      <c r="N175" s="31">
        <v>6311.7622000000001</v>
      </c>
      <c r="O175" s="31">
        <v>6735.6581999999999</v>
      </c>
      <c r="P175" s="31">
        <f t="shared" si="15"/>
        <v>178781.89598925694</v>
      </c>
      <c r="Q175" s="31">
        <f t="shared" si="16"/>
        <v>173907.30659402185</v>
      </c>
      <c r="R175" s="31">
        <f t="shared" si="17"/>
        <v>178131.71077057935</v>
      </c>
      <c r="S175" s="30">
        <v>79.400002000000001</v>
      </c>
      <c r="T175" s="30">
        <v>84.400002000000001</v>
      </c>
      <c r="U175" s="30">
        <v>87.400002000000001</v>
      </c>
    </row>
    <row r="176" spans="2:24" x14ac:dyDescent="0.25">
      <c r="B176" s="32" t="s">
        <v>384</v>
      </c>
      <c r="C176" s="18" t="s">
        <v>383</v>
      </c>
      <c r="D176" s="21" t="s">
        <v>361</v>
      </c>
      <c r="E176" s="21">
        <v>13</v>
      </c>
      <c r="F176" s="20">
        <v>807</v>
      </c>
      <c r="G176" s="31">
        <v>13.798</v>
      </c>
      <c r="H176" s="31">
        <v>11.906000000000001</v>
      </c>
      <c r="I176" s="31">
        <v>10.917999999999999</v>
      </c>
      <c r="J176" s="31">
        <v>98.143699999999995</v>
      </c>
      <c r="K176" s="31">
        <v>98.347899999999996</v>
      </c>
      <c r="L176" s="31">
        <v>98.5154</v>
      </c>
      <c r="M176" s="31">
        <v>1983.8653999999999</v>
      </c>
      <c r="N176" s="31">
        <v>2022.9026000000001</v>
      </c>
      <c r="O176" s="31">
        <v>2039.3678</v>
      </c>
      <c r="P176" s="31">
        <f t="shared" si="15"/>
        <v>26865.242832988079</v>
      </c>
      <c r="Q176" s="31">
        <f t="shared" si="16"/>
        <v>23686.775384487133</v>
      </c>
      <c r="R176" s="31">
        <f t="shared" si="17"/>
        <v>21935.259311710619</v>
      </c>
      <c r="S176" s="30">
        <v>94.800003000000004</v>
      </c>
      <c r="T176" s="30">
        <v>94.400002000000001</v>
      </c>
      <c r="U176" s="30">
        <v>95.199996999999996</v>
      </c>
    </row>
    <row r="177" spans="2:21" x14ac:dyDescent="0.25">
      <c r="B177" s="32" t="s">
        <v>18</v>
      </c>
      <c r="C177" s="21" t="s">
        <v>382</v>
      </c>
      <c r="D177" s="21" t="s">
        <v>361</v>
      </c>
      <c r="E177" s="21"/>
      <c r="F177" s="20">
        <v>764</v>
      </c>
      <c r="G177" s="31">
        <v>16.477</v>
      </c>
      <c r="H177" s="31">
        <v>15.279</v>
      </c>
      <c r="I177" s="31">
        <v>14.577</v>
      </c>
      <c r="J177" s="31">
        <v>98.642399999999995</v>
      </c>
      <c r="K177" s="31">
        <v>99.036199999999994</v>
      </c>
      <c r="L177" s="31">
        <v>99.316999999999993</v>
      </c>
      <c r="M177" s="31">
        <v>61001.311999999998</v>
      </c>
      <c r="N177" s="31">
        <v>63774.811000000002</v>
      </c>
      <c r="O177" s="31">
        <v>66916.400999999998</v>
      </c>
      <c r="P177" s="31">
        <f t="shared" si="15"/>
        <v>991473.12746842136</v>
      </c>
      <c r="Q177" s="31">
        <f t="shared" si="16"/>
        <v>965023.92224840133</v>
      </c>
      <c r="R177" s="31">
        <f t="shared" si="17"/>
        <v>968778.11959951487</v>
      </c>
      <c r="S177" s="30">
        <v>95.599997999999999</v>
      </c>
      <c r="T177" s="30">
        <v>97</v>
      </c>
      <c r="U177" s="30">
        <v>98.400002000000001</v>
      </c>
    </row>
    <row r="178" spans="2:21" x14ac:dyDescent="0.25">
      <c r="B178" s="32" t="s">
        <v>17</v>
      </c>
      <c r="C178" s="21" t="s">
        <v>381</v>
      </c>
      <c r="D178" s="21"/>
      <c r="E178" s="21"/>
      <c r="F178" s="20">
        <v>626</v>
      </c>
      <c r="G178" s="31">
        <v>45.814</v>
      </c>
      <c r="H178" s="31">
        <v>40.020000000000003</v>
      </c>
      <c r="I178" s="31">
        <v>40.201000000000001</v>
      </c>
      <c r="J178" s="31">
        <v>89.971199999999996</v>
      </c>
      <c r="K178" s="31">
        <v>92.129300000000001</v>
      </c>
      <c r="L178" s="31">
        <v>93.337100000000007</v>
      </c>
      <c r="M178" s="31">
        <v>0</v>
      </c>
      <c r="N178" s="31">
        <v>0</v>
      </c>
      <c r="O178" s="31">
        <v>0</v>
      </c>
      <c r="P178" s="31">
        <f t="shared" si="15"/>
        <v>0</v>
      </c>
      <c r="Q178" s="31">
        <f t="shared" si="16"/>
        <v>0</v>
      </c>
      <c r="R178" s="31">
        <f t="shared" si="17"/>
        <v>0</v>
      </c>
      <c r="S178" s="30">
        <v>0</v>
      </c>
      <c r="T178" s="30">
        <v>55.333331999999999</v>
      </c>
      <c r="U178" s="30">
        <v>68.599997999999999</v>
      </c>
    </row>
    <row r="179" spans="2:21" x14ac:dyDescent="0.25">
      <c r="B179" s="32" t="s">
        <v>70</v>
      </c>
      <c r="C179" s="21" t="s">
        <v>380</v>
      </c>
      <c r="D179" s="21" t="s">
        <v>353</v>
      </c>
      <c r="E179" s="21"/>
      <c r="F179" s="20">
        <v>768</v>
      </c>
      <c r="G179" s="31">
        <v>38.381999999999998</v>
      </c>
      <c r="H179" s="31">
        <v>35.844000000000001</v>
      </c>
      <c r="I179" s="31">
        <v>33.058</v>
      </c>
      <c r="J179" s="31">
        <v>90.962299999999999</v>
      </c>
      <c r="K179" s="31">
        <v>91.9041</v>
      </c>
      <c r="L179" s="31">
        <v>92.861900000000006</v>
      </c>
      <c r="M179" s="31">
        <v>4746.6819999999998</v>
      </c>
      <c r="N179" s="31">
        <v>5549.1882000000005</v>
      </c>
      <c r="O179" s="31">
        <v>6302.9384</v>
      </c>
      <c r="P179" s="31">
        <f t="shared" si="15"/>
        <v>165721.62060184646</v>
      </c>
      <c r="Q179" s="31">
        <f t="shared" si="16"/>
        <v>182801.94370087067</v>
      </c>
      <c r="R179" s="31">
        <f t="shared" si="17"/>
        <v>193489.41132883285</v>
      </c>
      <c r="S179" s="30">
        <v>49.799999</v>
      </c>
      <c r="T179" s="30">
        <v>65.599997999999999</v>
      </c>
      <c r="U179" s="30">
        <v>87</v>
      </c>
    </row>
    <row r="180" spans="2:21" x14ac:dyDescent="0.25">
      <c r="B180" s="32" t="s">
        <v>16</v>
      </c>
      <c r="C180" s="21" t="s">
        <v>379</v>
      </c>
      <c r="D180" s="21" t="s">
        <v>356</v>
      </c>
      <c r="E180" s="21"/>
      <c r="F180" s="20">
        <v>776</v>
      </c>
      <c r="G180" s="31">
        <v>28.010999999999999</v>
      </c>
      <c r="H180" s="31">
        <v>28.585000000000001</v>
      </c>
      <c r="I180" s="31">
        <v>28.167000000000002</v>
      </c>
      <c r="J180" s="31">
        <v>97.507599999999996</v>
      </c>
      <c r="K180" s="31">
        <v>97.664000000000001</v>
      </c>
      <c r="L180" s="31">
        <v>97.818100000000001</v>
      </c>
      <c r="M180" s="31">
        <v>97.838399999999993</v>
      </c>
      <c r="N180" s="31">
        <v>99.823599999999999</v>
      </c>
      <c r="O180" s="31">
        <v>102.99460000000001</v>
      </c>
      <c r="P180" s="31">
        <f t="shared" si="15"/>
        <v>2672.2459187481022</v>
      </c>
      <c r="Q180" s="31">
        <f t="shared" si="16"/>
        <v>2786.80083632384</v>
      </c>
      <c r="R180" s="31">
        <f t="shared" si="17"/>
        <v>2837.7509122901743</v>
      </c>
      <c r="S180" s="30">
        <v>96.199996999999996</v>
      </c>
      <c r="T180" s="30">
        <v>95.199996999999996</v>
      </c>
      <c r="U180" s="30">
        <v>99</v>
      </c>
    </row>
    <row r="181" spans="2:21" x14ac:dyDescent="0.25">
      <c r="B181" s="32" t="s">
        <v>123</v>
      </c>
      <c r="C181" s="21" t="s">
        <v>378</v>
      </c>
      <c r="D181" s="21" t="s">
        <v>366</v>
      </c>
      <c r="E181" s="21"/>
      <c r="F181" s="20">
        <v>780</v>
      </c>
      <c r="G181" s="31">
        <v>15.063000000000001</v>
      </c>
      <c r="H181" s="31">
        <v>14.494999999999999</v>
      </c>
      <c r="I181" s="31">
        <v>14.827999999999999</v>
      </c>
      <c r="J181" s="31">
        <v>97.121399999999994</v>
      </c>
      <c r="K181" s="31">
        <v>97.107500000000002</v>
      </c>
      <c r="L181" s="31">
        <v>97.399199999999993</v>
      </c>
      <c r="M181" s="31">
        <v>1277.9258</v>
      </c>
      <c r="N181" s="31">
        <v>1304.4941999999999</v>
      </c>
      <c r="O181" s="31">
        <v>1328.3313999999998</v>
      </c>
      <c r="P181" s="31">
        <f t="shared" si="15"/>
        <v>18695.283202777035</v>
      </c>
      <c r="Q181" s="31">
        <f t="shared" si="16"/>
        <v>18361.71091781617</v>
      </c>
      <c r="R181" s="31">
        <f t="shared" si="17"/>
        <v>19184.231479236802</v>
      </c>
      <c r="S181" s="30">
        <v>89.800003000000004</v>
      </c>
      <c r="T181" s="30">
        <v>92.400002000000001</v>
      </c>
      <c r="U181" s="30">
        <v>91</v>
      </c>
    </row>
    <row r="182" spans="2:21" x14ac:dyDescent="0.25">
      <c r="B182" s="32" t="s">
        <v>15</v>
      </c>
      <c r="C182" s="21" t="s">
        <v>377</v>
      </c>
      <c r="D182" s="21" t="s">
        <v>361</v>
      </c>
      <c r="E182" s="21"/>
      <c r="F182" s="20">
        <v>788</v>
      </c>
      <c r="G182" s="31">
        <v>18.364000000000001</v>
      </c>
      <c r="H182" s="31">
        <v>16.324999999999999</v>
      </c>
      <c r="I182" s="31">
        <v>16.093</v>
      </c>
      <c r="J182" s="31">
        <v>97.356399999999994</v>
      </c>
      <c r="K182" s="31">
        <v>97.754000000000005</v>
      </c>
      <c r="L182" s="31">
        <v>98.024199999999993</v>
      </c>
      <c r="M182" s="31">
        <v>9210.2000000000007</v>
      </c>
      <c r="N182" s="31">
        <v>9758.24</v>
      </c>
      <c r="O182" s="31">
        <v>10228.56</v>
      </c>
      <c r="P182" s="31">
        <f t="shared" si="15"/>
        <v>164664.83052201921</v>
      </c>
      <c r="Q182" s="31">
        <f t="shared" si="16"/>
        <v>155725.31660071999</v>
      </c>
      <c r="R182" s="31">
        <f t="shared" si="17"/>
        <v>161355.88694669132</v>
      </c>
      <c r="S182" s="30">
        <v>96</v>
      </c>
      <c r="T182" s="30">
        <v>96.599997999999999</v>
      </c>
      <c r="U182" s="30">
        <v>98.599997999999999</v>
      </c>
    </row>
    <row r="183" spans="2:21" x14ac:dyDescent="0.25">
      <c r="B183" s="32" t="s">
        <v>122</v>
      </c>
      <c r="C183" s="21" t="s">
        <v>376</v>
      </c>
      <c r="D183" s="21" t="s">
        <v>361</v>
      </c>
      <c r="E183" s="21"/>
      <c r="F183" s="20">
        <v>792</v>
      </c>
      <c r="G183" s="31">
        <v>22.67</v>
      </c>
      <c r="H183" s="31">
        <v>19.690000000000001</v>
      </c>
      <c r="I183" s="31">
        <v>18.425999999999998</v>
      </c>
      <c r="J183" s="31">
        <v>95.965100000000007</v>
      </c>
      <c r="K183" s="31">
        <v>96.858099999999993</v>
      </c>
      <c r="L183" s="31">
        <v>97.246499999999997</v>
      </c>
      <c r="M183" s="31">
        <v>63328.027999999998</v>
      </c>
      <c r="N183" s="31">
        <v>68376.292000000001</v>
      </c>
      <c r="O183" s="31">
        <v>72998.133000000002</v>
      </c>
      <c r="P183" s="31">
        <f t="shared" si="15"/>
        <v>1377719.4983778289</v>
      </c>
      <c r="Q183" s="31">
        <f t="shared" si="16"/>
        <v>1304028.8726757278</v>
      </c>
      <c r="R183" s="31">
        <f t="shared" si="17"/>
        <v>1308027.2724689518</v>
      </c>
      <c r="S183" s="30">
        <v>75.599997999999999</v>
      </c>
      <c r="T183" s="30">
        <v>80.800003000000004</v>
      </c>
      <c r="U183" s="30">
        <v>93.599997999999999</v>
      </c>
    </row>
    <row r="184" spans="2:21" x14ac:dyDescent="0.25">
      <c r="B184" s="32" t="s">
        <v>121</v>
      </c>
      <c r="C184" s="21" t="s">
        <v>375</v>
      </c>
      <c r="D184" s="21" t="s">
        <v>356</v>
      </c>
      <c r="E184" s="21"/>
      <c r="F184" s="20">
        <v>795</v>
      </c>
      <c r="G184" s="31">
        <v>24.488</v>
      </c>
      <c r="H184" s="31">
        <v>23.338000000000001</v>
      </c>
      <c r="I184" s="31">
        <v>22.013999999999999</v>
      </c>
      <c r="J184" s="31">
        <v>93.877799999999993</v>
      </c>
      <c r="K184" s="31">
        <v>94.828599999999994</v>
      </c>
      <c r="L184" s="31">
        <v>94.955699999999993</v>
      </c>
      <c r="M184" s="31">
        <v>4322.1037999999999</v>
      </c>
      <c r="N184" s="31">
        <v>4635.8959999999997</v>
      </c>
      <c r="O184" s="31">
        <v>4976.9502000000002</v>
      </c>
      <c r="P184" s="31">
        <f t="shared" si="15"/>
        <v>99359.961096797924</v>
      </c>
      <c r="Q184" s="31">
        <f t="shared" si="16"/>
        <v>102597.47179058653</v>
      </c>
      <c r="R184" s="31">
        <f t="shared" si="17"/>
        <v>104035.91639396566</v>
      </c>
      <c r="S184" s="30">
        <v>97</v>
      </c>
      <c r="T184" s="30">
        <v>94</v>
      </c>
      <c r="U184" s="30">
        <v>97.400002000000001</v>
      </c>
    </row>
    <row r="185" spans="2:21" x14ac:dyDescent="0.25">
      <c r="B185" s="32" t="s">
        <v>69</v>
      </c>
      <c r="C185" s="21" t="s">
        <v>374</v>
      </c>
      <c r="D185" s="21" t="s">
        <v>353</v>
      </c>
      <c r="E185" s="21"/>
      <c r="F185" s="20">
        <v>800</v>
      </c>
      <c r="G185" s="31">
        <v>48.317</v>
      </c>
      <c r="H185" s="31">
        <v>47.37</v>
      </c>
      <c r="I185" s="31">
        <v>46.344999999999999</v>
      </c>
      <c r="J185" s="31">
        <v>90.971999999999994</v>
      </c>
      <c r="K185" s="31">
        <v>91.778700000000001</v>
      </c>
      <c r="L185" s="31">
        <v>92.6006</v>
      </c>
      <c r="M185" s="31">
        <v>22304.09</v>
      </c>
      <c r="N185" s="31">
        <v>26070.677</v>
      </c>
      <c r="O185" s="31">
        <v>30671.053</v>
      </c>
      <c r="P185" s="31">
        <f t="shared" si="15"/>
        <v>980374.96536167164</v>
      </c>
      <c r="Q185" s="31">
        <f t="shared" si="16"/>
        <v>1133437.5478143184</v>
      </c>
      <c r="R185" s="31">
        <f t="shared" si="17"/>
        <v>1316271.1835896177</v>
      </c>
      <c r="S185" s="30">
        <v>54</v>
      </c>
      <c r="T185" s="30">
        <v>57</v>
      </c>
      <c r="U185" s="30">
        <v>64</v>
      </c>
    </row>
    <row r="186" spans="2:21" x14ac:dyDescent="0.25">
      <c r="B186" s="32" t="s">
        <v>11</v>
      </c>
      <c r="C186" s="21" t="s">
        <v>373</v>
      </c>
      <c r="D186" s="21" t="s">
        <v>356</v>
      </c>
      <c r="E186" s="21"/>
      <c r="F186" s="20">
        <v>804</v>
      </c>
      <c r="G186" s="31">
        <v>8.6199999999999992</v>
      </c>
      <c r="H186" s="31">
        <v>8.44</v>
      </c>
      <c r="I186" s="31">
        <v>9.8789999999999996</v>
      </c>
      <c r="J186" s="31">
        <v>98.297600000000003</v>
      </c>
      <c r="K186" s="31">
        <v>98.637100000000004</v>
      </c>
      <c r="L186" s="31">
        <v>98.763499999999993</v>
      </c>
      <c r="M186" s="31">
        <v>50596.175999999999</v>
      </c>
      <c r="N186" s="31">
        <v>48265.351999999999</v>
      </c>
      <c r="O186" s="31">
        <v>46533.771000000001</v>
      </c>
      <c r="P186" s="31">
        <f t="shared" si="15"/>
        <v>428714.20615206903</v>
      </c>
      <c r="Q186" s="31">
        <f t="shared" si="16"/>
        <v>401807.66728847643</v>
      </c>
      <c r="R186" s="31">
        <f t="shared" si="17"/>
        <v>454022.84512433817</v>
      </c>
      <c r="S186" s="30">
        <v>98.599997999999999</v>
      </c>
      <c r="T186" s="30">
        <v>98.599997999999999</v>
      </c>
      <c r="U186" s="30">
        <v>94.400002000000001</v>
      </c>
    </row>
    <row r="187" spans="2:21" x14ac:dyDescent="0.25">
      <c r="B187" s="32" t="s">
        <v>120</v>
      </c>
      <c r="C187" s="21" t="s">
        <v>372</v>
      </c>
      <c r="D187" s="21" t="s">
        <v>366</v>
      </c>
      <c r="E187" s="21"/>
      <c r="F187" s="20">
        <v>784</v>
      </c>
      <c r="G187" s="31">
        <v>18.221</v>
      </c>
      <c r="H187" s="31">
        <v>16.513000000000002</v>
      </c>
      <c r="I187" s="31">
        <v>14.026999999999999</v>
      </c>
      <c r="J187" s="31">
        <v>98.870099999999994</v>
      </c>
      <c r="K187" s="31">
        <v>98.974599999999995</v>
      </c>
      <c r="L187" s="31">
        <v>99.034099999999995</v>
      </c>
      <c r="M187" s="31">
        <v>2739.6517999999996</v>
      </c>
      <c r="N187" s="31">
        <v>3588.1692000000003</v>
      </c>
      <c r="O187" s="31">
        <v>4353.8034000000007</v>
      </c>
      <c r="P187" s="31">
        <f t="shared" si="15"/>
        <v>49355.158458435304</v>
      </c>
      <c r="Q187" s="31">
        <f t="shared" si="16"/>
        <v>58643.873754352106</v>
      </c>
      <c r="R187" s="31">
        <f t="shared" si="17"/>
        <v>60480.917431781505</v>
      </c>
      <c r="S187" s="30">
        <v>92</v>
      </c>
      <c r="T187" s="30">
        <v>94</v>
      </c>
      <c r="U187" s="30">
        <v>92.400002000000001</v>
      </c>
    </row>
    <row r="188" spans="2:21" x14ac:dyDescent="0.25">
      <c r="B188" s="32" t="s">
        <v>119</v>
      </c>
      <c r="C188" s="21" t="s">
        <v>371</v>
      </c>
      <c r="D188" s="21" t="s">
        <v>366</v>
      </c>
      <c r="E188" s="21"/>
      <c r="F188" s="20">
        <v>826</v>
      </c>
      <c r="G188" s="31">
        <v>12.161</v>
      </c>
      <c r="H188" s="31">
        <v>11.62</v>
      </c>
      <c r="I188" s="31">
        <v>12.195</v>
      </c>
      <c r="J188" s="31">
        <v>99.415000000000006</v>
      </c>
      <c r="K188" s="31">
        <v>99.475499999999997</v>
      </c>
      <c r="L188" s="31">
        <v>99.519000000000005</v>
      </c>
      <c r="M188" s="31">
        <v>58334.508000000002</v>
      </c>
      <c r="N188" s="31">
        <v>59355.5</v>
      </c>
      <c r="O188" s="31">
        <v>61011.357000000004</v>
      </c>
      <c r="P188" s="31">
        <f t="shared" si="15"/>
        <v>705255.92697004019</v>
      </c>
      <c r="Q188" s="31">
        <f t="shared" si="16"/>
        <v>686093.37627704989</v>
      </c>
      <c r="R188" s="31">
        <f t="shared" si="17"/>
        <v>740454.69748666196</v>
      </c>
      <c r="S188" s="30">
        <v>94</v>
      </c>
      <c r="T188" s="30">
        <v>92</v>
      </c>
      <c r="U188" s="30">
        <v>92</v>
      </c>
    </row>
    <row r="189" spans="2:21" x14ac:dyDescent="0.25">
      <c r="B189" s="32" t="s">
        <v>118</v>
      </c>
      <c r="C189" s="21" t="s">
        <v>370</v>
      </c>
      <c r="D189" s="21" t="s">
        <v>353</v>
      </c>
      <c r="E189" s="21"/>
      <c r="F189" s="20">
        <v>834</v>
      </c>
      <c r="G189" s="31">
        <v>41.89</v>
      </c>
      <c r="H189" s="31">
        <v>41.823999999999998</v>
      </c>
      <c r="I189" s="31">
        <v>41.648000000000003</v>
      </c>
      <c r="J189" s="31">
        <v>91.0364</v>
      </c>
      <c r="K189" s="31">
        <v>92.603499999999997</v>
      </c>
      <c r="L189" s="31">
        <v>93.522300000000001</v>
      </c>
      <c r="M189" s="31">
        <v>31633.548999999999</v>
      </c>
      <c r="N189" s="31">
        <v>35998.042000000001</v>
      </c>
      <c r="O189" s="31">
        <v>41324.756999999998</v>
      </c>
      <c r="P189" s="31">
        <f t="shared" si="15"/>
        <v>1206350.0716149101</v>
      </c>
      <c r="Q189" s="31">
        <f t="shared" si="16"/>
        <v>1394221.7279448092</v>
      </c>
      <c r="R189" s="31">
        <f t="shared" si="17"/>
        <v>1609606.2072120965</v>
      </c>
      <c r="S189" s="30">
        <v>79.400002000000001</v>
      </c>
      <c r="T189" s="30">
        <v>88.599997999999999</v>
      </c>
      <c r="U189" s="30">
        <v>86.800003000000004</v>
      </c>
    </row>
    <row r="190" spans="2:21" x14ac:dyDescent="0.25">
      <c r="B190" s="32" t="s">
        <v>117</v>
      </c>
      <c r="C190" s="21" t="s">
        <v>369</v>
      </c>
      <c r="D190" s="21" t="s">
        <v>366</v>
      </c>
      <c r="E190" s="21"/>
      <c r="F190" s="20">
        <v>840</v>
      </c>
      <c r="G190" s="31">
        <v>14.484999999999999</v>
      </c>
      <c r="H190" s="31">
        <v>14.195</v>
      </c>
      <c r="I190" s="31">
        <v>14.191000000000001</v>
      </c>
      <c r="J190" s="31">
        <v>99.331000000000003</v>
      </c>
      <c r="K190" s="31">
        <v>99.36</v>
      </c>
      <c r="L190" s="31">
        <v>99.41</v>
      </c>
      <c r="M190" s="31">
        <v>272600</v>
      </c>
      <c r="N190" s="31">
        <v>287700</v>
      </c>
      <c r="O190" s="31">
        <v>301500</v>
      </c>
      <c r="P190" s="31">
        <f t="shared" si="15"/>
        <v>3922194.7924099998</v>
      </c>
      <c r="Q190" s="31">
        <f t="shared" si="16"/>
        <v>4057764.5304</v>
      </c>
      <c r="R190" s="31">
        <f t="shared" si="17"/>
        <v>4253342.8396499995</v>
      </c>
      <c r="S190" s="30">
        <v>95.599997999999999</v>
      </c>
      <c r="T190" s="30">
        <v>94.800003000000004</v>
      </c>
      <c r="U190" s="30">
        <v>95.199996999999996</v>
      </c>
    </row>
    <row r="191" spans="2:21" x14ac:dyDescent="0.25">
      <c r="B191" s="32" t="s">
        <v>368</v>
      </c>
      <c r="C191" s="18" t="s">
        <v>367</v>
      </c>
      <c r="D191" s="21" t="s">
        <v>366</v>
      </c>
      <c r="E191" s="21"/>
      <c r="F191" s="20">
        <v>850</v>
      </c>
      <c r="G191" s="31">
        <v>17.8</v>
      </c>
      <c r="H191" s="31">
        <v>14.846</v>
      </c>
      <c r="I191" s="31">
        <v>13.536</v>
      </c>
      <c r="J191" s="31">
        <v>98.817400000000006</v>
      </c>
      <c r="K191" s="31">
        <v>99.003600000000006</v>
      </c>
      <c r="L191" s="31">
        <v>99.087400000000002</v>
      </c>
      <c r="M191" s="31">
        <v>108.2792</v>
      </c>
      <c r="N191" s="31">
        <v>108.9622</v>
      </c>
      <c r="O191" s="31">
        <v>109.77</v>
      </c>
      <c r="P191" s="31">
        <f t="shared" si="15"/>
        <v>1904.5766852182403</v>
      </c>
      <c r="Q191" s="31">
        <f t="shared" si="16"/>
        <v>1601.5345284895632</v>
      </c>
      <c r="R191" s="31">
        <f t="shared" si="17"/>
        <v>1472.2868828332801</v>
      </c>
      <c r="S191" s="30">
        <v>0</v>
      </c>
      <c r="T191" s="30">
        <v>0</v>
      </c>
      <c r="U191" s="30">
        <v>0</v>
      </c>
    </row>
    <row r="192" spans="2:21" x14ac:dyDescent="0.25">
      <c r="B192" s="32" t="s">
        <v>116</v>
      </c>
      <c r="C192" s="21" t="s">
        <v>365</v>
      </c>
      <c r="D192" s="21" t="s">
        <v>361</v>
      </c>
      <c r="E192" s="21"/>
      <c r="F192" s="20">
        <v>858</v>
      </c>
      <c r="G192" s="31">
        <v>16.928000000000001</v>
      </c>
      <c r="H192" s="31">
        <v>15.935</v>
      </c>
      <c r="I192" s="31">
        <v>15.089</v>
      </c>
      <c r="J192" s="31">
        <v>98.441900000000004</v>
      </c>
      <c r="K192" s="31">
        <v>98.563999999999993</v>
      </c>
      <c r="L192" s="31">
        <v>98.692700000000002</v>
      </c>
      <c r="M192" s="31">
        <v>3254.5038999999997</v>
      </c>
      <c r="N192" s="31">
        <v>3304.6003999999998</v>
      </c>
      <c r="O192" s="31">
        <v>3324.6170000000002</v>
      </c>
      <c r="P192" s="31">
        <f t="shared" si="15"/>
        <v>54233.849796298848</v>
      </c>
      <c r="Q192" s="31">
        <f t="shared" si="16"/>
        <v>51902.626900109353</v>
      </c>
      <c r="R192" s="31">
        <f t="shared" si="17"/>
        <v>49509.336960479355</v>
      </c>
      <c r="S192" s="30">
        <v>91.400002000000001</v>
      </c>
      <c r="T192" s="30">
        <v>92.800003000000004</v>
      </c>
      <c r="U192" s="30">
        <v>94.800003000000004</v>
      </c>
    </row>
    <row r="193" spans="2:24" x14ac:dyDescent="0.25">
      <c r="B193" s="32" t="s">
        <v>9</v>
      </c>
      <c r="C193" s="21" t="s">
        <v>364</v>
      </c>
      <c r="D193" s="21" t="s">
        <v>859</v>
      </c>
      <c r="E193" s="21"/>
      <c r="F193" s="20">
        <v>860</v>
      </c>
      <c r="G193" s="31">
        <v>25.555</v>
      </c>
      <c r="H193" s="31">
        <v>21.635000000000002</v>
      </c>
      <c r="I193" s="31">
        <v>20.36</v>
      </c>
      <c r="J193" s="31">
        <v>94.530299999999997</v>
      </c>
      <c r="K193" s="31">
        <v>95.043999999999997</v>
      </c>
      <c r="L193" s="31">
        <v>95.201800000000006</v>
      </c>
      <c r="M193" s="31">
        <v>23625.599999999999</v>
      </c>
      <c r="N193" s="31">
        <v>25264.177</v>
      </c>
      <c r="O193" s="31">
        <v>26920.353999999999</v>
      </c>
      <c r="P193" s="31">
        <f t="shared" si="15"/>
        <v>570728.77347902395</v>
      </c>
      <c r="Q193" s="31">
        <f t="shared" si="16"/>
        <v>519501.44573178381</v>
      </c>
      <c r="R193" s="31">
        <f t="shared" si="17"/>
        <v>521799.54965421394</v>
      </c>
      <c r="S193" s="30">
        <v>95.199996999999996</v>
      </c>
      <c r="T193" s="30">
        <v>98.800003000000004</v>
      </c>
      <c r="U193" s="30">
        <v>97.400002000000001</v>
      </c>
    </row>
    <row r="194" spans="2:24" x14ac:dyDescent="0.25">
      <c r="B194" s="32" t="s">
        <v>8</v>
      </c>
      <c r="C194" s="21" t="s">
        <v>363</v>
      </c>
      <c r="D194" s="21" t="s">
        <v>356</v>
      </c>
      <c r="E194" s="21"/>
      <c r="F194" s="20">
        <v>548</v>
      </c>
      <c r="G194" s="31">
        <v>33.939</v>
      </c>
      <c r="H194" s="31">
        <v>32.049999999999997</v>
      </c>
      <c r="I194" s="31">
        <v>30.443000000000001</v>
      </c>
      <c r="J194" s="31">
        <v>95.774600000000007</v>
      </c>
      <c r="K194" s="31">
        <v>96.569400000000002</v>
      </c>
      <c r="L194" s="31">
        <v>97.170299999999997</v>
      </c>
      <c r="M194" s="31">
        <v>179.0934</v>
      </c>
      <c r="N194" s="31">
        <v>199.81800000000001</v>
      </c>
      <c r="O194" s="31">
        <v>228.0598</v>
      </c>
      <c r="P194" s="31">
        <f t="shared" si="15"/>
        <v>5821.4204889615394</v>
      </c>
      <c r="Q194" s="31">
        <f t="shared" si="16"/>
        <v>6184.4655503286003</v>
      </c>
      <c r="R194" s="31">
        <f t="shared" si="17"/>
        <v>6746.363386766855</v>
      </c>
      <c r="S194" s="30">
        <v>71</v>
      </c>
      <c r="T194" s="30">
        <v>69.800003000000004</v>
      </c>
      <c r="U194" s="30">
        <v>68</v>
      </c>
    </row>
    <row r="195" spans="2:24" x14ac:dyDescent="0.25">
      <c r="B195" s="32" t="s">
        <v>115</v>
      </c>
      <c r="C195" s="21" t="s">
        <v>362</v>
      </c>
      <c r="D195" s="21" t="s">
        <v>361</v>
      </c>
      <c r="E195" s="21"/>
      <c r="F195" s="20">
        <v>862</v>
      </c>
      <c r="G195" s="31">
        <v>24.481000000000002</v>
      </c>
      <c r="H195" s="31">
        <v>22.867999999999999</v>
      </c>
      <c r="I195" s="31">
        <v>21.439</v>
      </c>
      <c r="J195" s="31">
        <v>97.930300000000003</v>
      </c>
      <c r="K195" s="31">
        <v>98.1143</v>
      </c>
      <c r="L195" s="31">
        <v>98.299899999999994</v>
      </c>
      <c r="M195" s="31">
        <v>22956.799999999999</v>
      </c>
      <c r="N195" s="31">
        <v>25219.4</v>
      </c>
      <c r="O195" s="31">
        <v>27482</v>
      </c>
      <c r="P195" s="31">
        <f t="shared" si="15"/>
        <v>550373.59460570244</v>
      </c>
      <c r="Q195" s="31">
        <f t="shared" si="16"/>
        <v>565842.08222040557</v>
      </c>
      <c r="R195" s="31">
        <f t="shared" si="17"/>
        <v>579169.83664740203</v>
      </c>
      <c r="S195" s="30">
        <v>60</v>
      </c>
      <c r="T195" s="30">
        <v>73.199996999999996</v>
      </c>
      <c r="U195" s="30">
        <v>71.199996999999996</v>
      </c>
    </row>
    <row r="196" spans="2:24" x14ac:dyDescent="0.25">
      <c r="B196" s="32" t="s">
        <v>114</v>
      </c>
      <c r="C196" s="21" t="s">
        <v>360</v>
      </c>
      <c r="D196" s="21" t="s">
        <v>859</v>
      </c>
      <c r="E196" s="21"/>
      <c r="F196" s="20">
        <v>704</v>
      </c>
      <c r="G196" s="31">
        <v>21.295000000000002</v>
      </c>
      <c r="H196" s="31">
        <v>19.134</v>
      </c>
      <c r="I196" s="31">
        <v>17.312000000000001</v>
      </c>
      <c r="J196" s="31">
        <v>97.107399999999998</v>
      </c>
      <c r="K196" s="31">
        <v>97.766199999999998</v>
      </c>
      <c r="L196" s="31">
        <v>98.046700000000001</v>
      </c>
      <c r="M196" s="31">
        <v>75355</v>
      </c>
      <c r="N196" s="31">
        <v>79796.539999999994</v>
      </c>
      <c r="O196" s="31">
        <v>85177.706999999995</v>
      </c>
      <c r="P196" s="31">
        <f t="shared" si="15"/>
        <v>1558267.6146446499</v>
      </c>
      <c r="Q196" s="31">
        <f t="shared" si="16"/>
        <v>1492720.7349153101</v>
      </c>
      <c r="R196" s="31">
        <f t="shared" si="17"/>
        <v>1445793.1708608139</v>
      </c>
      <c r="S196" s="30">
        <v>93.800003000000004</v>
      </c>
      <c r="T196" s="30">
        <v>92.400002000000001</v>
      </c>
      <c r="U196" s="30">
        <v>94</v>
      </c>
    </row>
    <row r="197" spans="2:24" x14ac:dyDescent="0.25">
      <c r="B197" s="32" t="s">
        <v>359</v>
      </c>
      <c r="C197" s="21" t="s">
        <v>358</v>
      </c>
      <c r="D197" s="21"/>
      <c r="E197" s="21"/>
      <c r="F197" s="20">
        <v>732</v>
      </c>
      <c r="G197" s="31">
        <v>28.273</v>
      </c>
      <c r="H197" s="31">
        <v>25.08</v>
      </c>
      <c r="I197" s="31">
        <v>23.34</v>
      </c>
      <c r="J197" s="31">
        <v>93.552899999999994</v>
      </c>
      <c r="K197" s="31">
        <v>94.691100000000006</v>
      </c>
      <c r="L197" s="31">
        <v>95.579700000000003</v>
      </c>
      <c r="M197" s="31"/>
      <c r="N197" s="31"/>
      <c r="O197" s="31"/>
      <c r="P197" s="31">
        <f t="shared" si="15"/>
        <v>0</v>
      </c>
      <c r="Q197" s="31">
        <f t="shared" si="16"/>
        <v>0</v>
      </c>
      <c r="R197" s="31">
        <f t="shared" si="17"/>
        <v>0</v>
      </c>
      <c r="S197" s="30"/>
      <c r="T197" s="30"/>
      <c r="U197" s="30"/>
    </row>
    <row r="198" spans="2:24" x14ac:dyDescent="0.25">
      <c r="B198" s="32" t="s">
        <v>107</v>
      </c>
      <c r="C198" s="21" t="s">
        <v>357</v>
      </c>
      <c r="D198" s="21" t="s">
        <v>859</v>
      </c>
      <c r="E198" s="21"/>
      <c r="F198" s="20">
        <v>887</v>
      </c>
      <c r="G198" s="31">
        <v>42.881</v>
      </c>
      <c r="H198" s="31">
        <v>38.576000000000001</v>
      </c>
      <c r="I198" s="31">
        <v>37.1</v>
      </c>
      <c r="J198" s="31">
        <v>92.024900000000002</v>
      </c>
      <c r="K198" s="31">
        <v>93.080799999999996</v>
      </c>
      <c r="L198" s="31">
        <v>94.138499999999993</v>
      </c>
      <c r="M198" s="31">
        <v>16614.341</v>
      </c>
      <c r="N198" s="31">
        <v>19289.736000000001</v>
      </c>
      <c r="O198" s="31">
        <v>22285.673999999999</v>
      </c>
      <c r="P198" s="31">
        <f t="shared" si="15"/>
        <v>655621.78935686883</v>
      </c>
      <c r="Q198" s="31">
        <f t="shared" si="16"/>
        <v>692633.64567207615</v>
      </c>
      <c r="R198" s="31">
        <f t="shared" si="17"/>
        <v>778335.71100597898</v>
      </c>
      <c r="S198" s="30">
        <v>49</v>
      </c>
      <c r="T198" s="30">
        <v>56.400002000000001</v>
      </c>
      <c r="U198" s="30">
        <v>66</v>
      </c>
    </row>
    <row r="199" spans="2:24" x14ac:dyDescent="0.25">
      <c r="B199" s="32" t="s">
        <v>68</v>
      </c>
      <c r="C199" s="21" t="s">
        <v>355</v>
      </c>
      <c r="D199" s="21" t="s">
        <v>356</v>
      </c>
      <c r="E199" s="21"/>
      <c r="F199" s="20">
        <v>894</v>
      </c>
      <c r="G199" s="31">
        <v>45.058</v>
      </c>
      <c r="H199" s="31">
        <v>44.582000000000001</v>
      </c>
      <c r="I199" s="31">
        <v>43.152000000000001</v>
      </c>
      <c r="J199" s="31">
        <v>89.274500000000003</v>
      </c>
      <c r="K199" s="31">
        <v>89.579099999999997</v>
      </c>
      <c r="L199" s="31">
        <v>90.545199999999994</v>
      </c>
      <c r="M199" s="31">
        <v>9650.4966000000004</v>
      </c>
      <c r="N199" s="31">
        <v>10970.882</v>
      </c>
      <c r="O199" s="31">
        <v>12325.487999999999</v>
      </c>
      <c r="P199" s="31">
        <f t="shared" si="15"/>
        <v>388194.16151257069</v>
      </c>
      <c r="Q199" s="31">
        <f t="shared" si="16"/>
        <v>438134.83703928726</v>
      </c>
      <c r="R199" s="31">
        <f t="shared" si="17"/>
        <v>481582.26464437559</v>
      </c>
      <c r="S199" s="30">
        <v>84.199996999999996</v>
      </c>
      <c r="T199" s="30">
        <v>84</v>
      </c>
      <c r="U199" s="30">
        <v>81.199996999999996</v>
      </c>
    </row>
    <row r="200" spans="2:24" x14ac:dyDescent="0.25">
      <c r="B200" s="29" t="s">
        <v>67</v>
      </c>
      <c r="C200" s="28" t="s">
        <v>354</v>
      </c>
      <c r="D200" s="28" t="s">
        <v>353</v>
      </c>
      <c r="E200" s="28"/>
      <c r="F200" s="27">
        <v>716</v>
      </c>
      <c r="G200" s="26">
        <v>32.008000000000003</v>
      </c>
      <c r="H200" s="26">
        <v>30.256</v>
      </c>
      <c r="I200" s="26">
        <v>30.027999999999999</v>
      </c>
      <c r="J200" s="26">
        <v>93.622</v>
      </c>
      <c r="K200" s="26">
        <v>93.1113</v>
      </c>
      <c r="L200" s="26">
        <v>94.236999999999995</v>
      </c>
      <c r="M200" s="26">
        <v>12066.944</v>
      </c>
      <c r="N200" s="26">
        <v>12495.584000000001</v>
      </c>
      <c r="O200" s="26">
        <v>12473.864</v>
      </c>
      <c r="P200" s="26">
        <f t="shared" si="15"/>
        <v>361604.43648825347</v>
      </c>
      <c r="Q200" s="26">
        <f t="shared" si="16"/>
        <v>352022.53013023792</v>
      </c>
      <c r="R200" s="26">
        <f t="shared" si="17"/>
        <v>352978.99639649503</v>
      </c>
      <c r="S200" s="25">
        <v>85.800003000000004</v>
      </c>
      <c r="T200" s="25">
        <v>73.199996999999996</v>
      </c>
      <c r="U200" s="25">
        <v>70.599997999999999</v>
      </c>
    </row>
    <row r="201" spans="2:24" x14ac:dyDescent="0.25">
      <c r="B201" s="24"/>
      <c r="C201" s="21"/>
      <c r="D201" s="21"/>
      <c r="E201" s="21"/>
      <c r="F201" s="20"/>
      <c r="G201" s="19"/>
      <c r="H201" s="19"/>
      <c r="I201" s="19"/>
      <c r="J201" s="19"/>
      <c r="K201" s="19"/>
      <c r="L201" s="19"/>
      <c r="M201" s="19"/>
      <c r="N201" s="19"/>
      <c r="O201" s="19"/>
      <c r="P201" s="19"/>
      <c r="Q201" s="19"/>
      <c r="R201" s="19"/>
    </row>
    <row r="202" spans="2:24" x14ac:dyDescent="0.25">
      <c r="B202" t="s">
        <v>352</v>
      </c>
      <c r="C202" s="21"/>
      <c r="D202" s="21"/>
      <c r="E202" s="21"/>
      <c r="F202" s="20"/>
      <c r="G202" s="19"/>
      <c r="H202" s="19"/>
      <c r="I202" s="19"/>
      <c r="J202" s="19"/>
      <c r="K202" s="19"/>
      <c r="L202" s="19"/>
      <c r="M202" s="19"/>
      <c r="N202" s="19"/>
      <c r="O202" s="19"/>
      <c r="P202" s="19"/>
      <c r="Q202" s="19"/>
      <c r="R202" s="19"/>
    </row>
    <row r="203" spans="2:24" x14ac:dyDescent="0.25">
      <c r="B203" t="s">
        <v>351</v>
      </c>
      <c r="C203" s="21"/>
      <c r="D203" s="21"/>
      <c r="E203" s="21"/>
      <c r="F203" s="20"/>
      <c r="G203" s="19"/>
      <c r="H203" s="19"/>
      <c r="I203" s="19"/>
      <c r="J203" s="19"/>
      <c r="K203" s="19"/>
      <c r="L203" s="19"/>
      <c r="M203" s="19"/>
      <c r="N203" s="19"/>
      <c r="O203" s="19"/>
      <c r="P203" s="19"/>
      <c r="Q203" s="19"/>
      <c r="R203" s="19"/>
    </row>
    <row r="204" spans="2:24" x14ac:dyDescent="0.25">
      <c r="B204" t="s">
        <v>350</v>
      </c>
      <c r="C204" s="21"/>
      <c r="D204" s="21"/>
      <c r="E204" s="21"/>
      <c r="F204" s="20"/>
      <c r="G204" s="19"/>
      <c r="H204" s="19"/>
      <c r="I204" s="19"/>
      <c r="J204" s="19"/>
      <c r="K204" s="19"/>
      <c r="L204" s="19"/>
      <c r="M204" s="19"/>
      <c r="N204" s="19"/>
      <c r="O204" s="19"/>
      <c r="P204" s="19"/>
      <c r="Q204" s="19"/>
      <c r="R204" s="19"/>
    </row>
    <row r="205" spans="2:24" x14ac:dyDescent="0.25">
      <c r="B205" t="s">
        <v>349</v>
      </c>
      <c r="C205" s="22"/>
      <c r="D205" s="22"/>
      <c r="E205" s="21"/>
      <c r="F205" s="20"/>
      <c r="G205" s="19"/>
      <c r="H205" s="19"/>
      <c r="I205" s="19"/>
    </row>
    <row r="206" spans="2:24" x14ac:dyDescent="0.25">
      <c r="B206"/>
      <c r="C206" s="21"/>
      <c r="D206" s="21"/>
      <c r="E206" s="21"/>
      <c r="F206" s="20"/>
      <c r="G206" s="19"/>
      <c r="H206" s="19"/>
      <c r="I206" s="19"/>
    </row>
    <row r="207" spans="2:24" x14ac:dyDescent="0.25">
      <c r="B207"/>
      <c r="C207" s="22"/>
      <c r="D207" s="22"/>
      <c r="E207" s="21"/>
      <c r="F207" s="20"/>
      <c r="G207" s="19"/>
      <c r="H207" s="19"/>
      <c r="I207" s="19"/>
    </row>
    <row r="208" spans="2:24" x14ac:dyDescent="0.25">
      <c r="B208"/>
      <c r="C208" s="21"/>
      <c r="D208" s="21"/>
      <c r="E208" s="21"/>
      <c r="F208" s="20"/>
      <c r="G208" s="19"/>
      <c r="H208" s="19"/>
      <c r="I208" s="19"/>
      <c r="U208" s="23"/>
      <c r="V208" s="23"/>
      <c r="W208" s="23"/>
      <c r="X208" s="23"/>
    </row>
    <row r="209" spans="2:9" x14ac:dyDescent="0.25">
      <c r="B209"/>
      <c r="C209" s="22"/>
      <c r="D209" s="22"/>
      <c r="E209" s="21"/>
      <c r="F209" s="20"/>
      <c r="G209" s="19"/>
      <c r="H209" s="19"/>
      <c r="I209" s="19"/>
    </row>
    <row r="210" spans="2:9" x14ac:dyDescent="0.25">
      <c r="B210"/>
      <c r="C210" s="21"/>
      <c r="D210" s="21"/>
      <c r="E210" s="21"/>
      <c r="F210" s="20"/>
      <c r="G210" s="19"/>
      <c r="H210" s="19"/>
      <c r="I210" s="19"/>
    </row>
  </sheetData>
  <autoFilter ref="A2:Z200">
    <filterColumn colId="6" showButton="0"/>
    <filterColumn colId="7" showButton="0"/>
    <filterColumn colId="9" showButton="0"/>
    <filterColumn colId="10" showButton="0"/>
    <filterColumn colId="12" showButton="0"/>
    <filterColumn colId="13" showButton="0"/>
    <filterColumn colId="15" showButton="0"/>
    <filterColumn colId="16" showButton="0"/>
    <filterColumn colId="18" showButton="0"/>
    <filterColumn colId="19" showButton="0"/>
  </autoFilter>
  <mergeCells count="10">
    <mergeCell ref="B2:B3"/>
    <mergeCell ref="M2:O2"/>
    <mergeCell ref="D2:D3"/>
    <mergeCell ref="S2:U2"/>
    <mergeCell ref="P2:R2"/>
    <mergeCell ref="C2:C3"/>
    <mergeCell ref="J2:L2"/>
    <mergeCell ref="G2:I2"/>
    <mergeCell ref="F2:F3"/>
    <mergeCell ref="E2:E3"/>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O28"/>
  <sheetViews>
    <sheetView workbookViewId="0">
      <selection activeCell="J15" sqref="J15"/>
    </sheetView>
  </sheetViews>
  <sheetFormatPr defaultColWidth="11.42578125" defaultRowHeight="15" x14ac:dyDescent="0.25"/>
  <cols>
    <col min="1" max="1" width="4.42578125" customWidth="1"/>
    <col min="2" max="2" width="21.85546875" customWidth="1"/>
    <col min="3" max="5" width="14.140625" bestFit="1" customWidth="1"/>
    <col min="6" max="8" width="12.7109375" bestFit="1" customWidth="1"/>
    <col min="9" max="11" width="15.85546875" bestFit="1" customWidth="1"/>
    <col min="12" max="12" width="13.42578125" bestFit="1" customWidth="1"/>
    <col min="13" max="13" width="14.28515625" bestFit="1" customWidth="1"/>
    <col min="14" max="15" width="14.140625" bestFit="1" customWidth="1"/>
  </cols>
  <sheetData>
    <row r="1" spans="2:15" x14ac:dyDescent="0.25">
      <c r="B1" s="46"/>
    </row>
    <row r="2" spans="2:15" ht="61.5" customHeight="1" x14ac:dyDescent="0.25">
      <c r="B2" s="137" t="s">
        <v>603</v>
      </c>
      <c r="C2" s="134" t="s">
        <v>602</v>
      </c>
      <c r="D2" s="134"/>
      <c r="E2" s="134"/>
      <c r="F2" s="134" t="s">
        <v>588</v>
      </c>
      <c r="G2" s="134"/>
      <c r="H2" s="134"/>
      <c r="I2" s="134" t="s">
        <v>601</v>
      </c>
      <c r="J2" s="134"/>
      <c r="K2" s="134"/>
    </row>
    <row r="3" spans="2:15" x14ac:dyDescent="0.25">
      <c r="B3" s="138"/>
      <c r="C3" s="35" t="s">
        <v>587</v>
      </c>
      <c r="D3" s="35" t="s">
        <v>586</v>
      </c>
      <c r="E3" s="35" t="s">
        <v>585</v>
      </c>
      <c r="F3" s="35" t="s">
        <v>587</v>
      </c>
      <c r="G3" s="35" t="s">
        <v>586</v>
      </c>
      <c r="H3" s="35" t="s">
        <v>585</v>
      </c>
      <c r="I3" s="35" t="s">
        <v>587</v>
      </c>
      <c r="J3" s="35" t="s">
        <v>586</v>
      </c>
      <c r="K3" s="35" t="s">
        <v>585</v>
      </c>
    </row>
    <row r="5" spans="2:15" x14ac:dyDescent="0.25">
      <c r="B5" t="s">
        <v>366</v>
      </c>
      <c r="C5" s="49">
        <v>12291397.17</v>
      </c>
      <c r="D5" s="49">
        <v>12191927.619999999</v>
      </c>
      <c r="E5" s="49">
        <v>12456728.970000001</v>
      </c>
      <c r="F5" s="49">
        <v>92.27234</v>
      </c>
      <c r="G5" s="49">
        <v>93.404259999999994</v>
      </c>
      <c r="H5" s="49">
        <v>93.578720000000004</v>
      </c>
      <c r="I5" s="49">
        <v>967320.68</v>
      </c>
      <c r="J5" s="49">
        <v>656154.89</v>
      </c>
      <c r="K5" s="49">
        <v>590786.14</v>
      </c>
      <c r="M5" s="30"/>
      <c r="N5" s="30"/>
      <c r="O5" s="30"/>
    </row>
    <row r="6" spans="2:15" x14ac:dyDescent="0.25">
      <c r="B6" t="s">
        <v>353</v>
      </c>
      <c r="C6" s="49">
        <v>19912420.010000002</v>
      </c>
      <c r="D6" s="49">
        <v>21316118.050000001</v>
      </c>
      <c r="E6" s="49">
        <v>22822767.850000001</v>
      </c>
      <c r="F6" s="49">
        <v>60.866669999999999</v>
      </c>
      <c r="G6" s="49">
        <v>67.476920000000007</v>
      </c>
      <c r="H6" s="49">
        <v>75.815380000000005</v>
      </c>
      <c r="I6" s="49">
        <v>7286980.1100000003</v>
      </c>
      <c r="J6" s="49">
        <v>6321714.96</v>
      </c>
      <c r="K6" s="49">
        <v>4903682.91</v>
      </c>
      <c r="M6" s="30"/>
      <c r="N6" s="30"/>
      <c r="O6" s="30"/>
    </row>
    <row r="7" spans="2:15" x14ac:dyDescent="0.25">
      <c r="B7" t="s">
        <v>356</v>
      </c>
      <c r="C7" s="49">
        <v>72326477.510000005</v>
      </c>
      <c r="D7" s="49">
        <v>71972877.760000005</v>
      </c>
      <c r="E7" s="49">
        <v>72760898.75</v>
      </c>
      <c r="F7" s="49">
        <v>77.563999999999993</v>
      </c>
      <c r="G7" s="49">
        <v>81.459999999999994</v>
      </c>
      <c r="H7" s="49">
        <v>86.135999999999996</v>
      </c>
      <c r="I7" s="49">
        <v>21706298.780000001</v>
      </c>
      <c r="J7" s="49">
        <v>21445492.890000001</v>
      </c>
      <c r="K7" s="49">
        <v>16687287.65</v>
      </c>
      <c r="M7" s="30"/>
      <c r="N7" s="30"/>
      <c r="O7" s="30"/>
    </row>
    <row r="8" spans="2:15" x14ac:dyDescent="0.25">
      <c r="B8" s="46" t="s">
        <v>361</v>
      </c>
      <c r="C8" s="45">
        <v>16292046.73</v>
      </c>
      <c r="D8" s="45">
        <v>16339441.699999999</v>
      </c>
      <c r="E8" s="45">
        <v>16118425.460000001</v>
      </c>
      <c r="F8" s="45">
        <v>87.263159999999999</v>
      </c>
      <c r="G8" s="45">
        <v>88.1</v>
      </c>
      <c r="H8" s="45">
        <v>90.352630000000005</v>
      </c>
      <c r="I8" s="45">
        <v>2283265.29</v>
      </c>
      <c r="J8" s="45">
        <v>1492689</v>
      </c>
      <c r="K8" s="45">
        <v>1174980.6499999999</v>
      </c>
      <c r="M8" s="30"/>
      <c r="N8" s="30"/>
      <c r="O8" s="30"/>
    </row>
    <row r="9" spans="2:15" x14ac:dyDescent="0.25">
      <c r="B9" s="48"/>
      <c r="C9" s="47"/>
      <c r="D9" s="47"/>
      <c r="E9" s="47"/>
      <c r="F9" s="47"/>
      <c r="G9" s="47"/>
      <c r="H9" s="47"/>
      <c r="I9" s="47"/>
      <c r="J9" s="47"/>
      <c r="K9" s="47"/>
    </row>
    <row r="10" spans="2:15" x14ac:dyDescent="0.25">
      <c r="B10" s="46" t="s">
        <v>600</v>
      </c>
      <c r="C10" s="45">
        <v>120822341.42</v>
      </c>
      <c r="D10" s="45">
        <v>121820365.13</v>
      </c>
      <c r="E10" s="45">
        <v>124158821.04000001</v>
      </c>
      <c r="F10" s="45">
        <v>79.912639999999996</v>
      </c>
      <c r="G10" s="45">
        <v>83.002300000000005</v>
      </c>
      <c r="H10" s="45">
        <v>86.754019999999997</v>
      </c>
      <c r="I10" s="45">
        <v>32243864.850000001</v>
      </c>
      <c r="J10" s="45">
        <v>29916051.739999998</v>
      </c>
      <c r="K10" s="45">
        <v>23356737.350000001</v>
      </c>
      <c r="M10" s="44"/>
      <c r="N10" s="44"/>
      <c r="O10" s="44"/>
    </row>
    <row r="12" spans="2:15" x14ac:dyDescent="0.25">
      <c r="B12" t="s">
        <v>352</v>
      </c>
      <c r="I12" s="43"/>
      <c r="J12" s="43"/>
      <c r="K12" s="43"/>
    </row>
    <row r="13" spans="2:15" x14ac:dyDescent="0.25">
      <c r="B13" t="s">
        <v>351</v>
      </c>
    </row>
    <row r="14" spans="2:15" x14ac:dyDescent="0.25">
      <c r="B14" t="s">
        <v>350</v>
      </c>
    </row>
    <row r="15" spans="2:15" x14ac:dyDescent="0.25">
      <c r="B15" t="s">
        <v>349</v>
      </c>
    </row>
    <row r="18" spans="3:14" x14ac:dyDescent="0.25">
      <c r="C18" t="s">
        <v>599</v>
      </c>
    </row>
    <row r="21" spans="3:14" x14ac:dyDescent="0.25">
      <c r="F21" t="s">
        <v>589</v>
      </c>
      <c r="I21" s="134" t="s">
        <v>588</v>
      </c>
      <c r="J21" s="134"/>
      <c r="K21" s="134"/>
      <c r="L21" t="s">
        <v>598</v>
      </c>
    </row>
    <row r="22" spans="3:14" x14ac:dyDescent="0.25">
      <c r="F22" t="s">
        <v>587</v>
      </c>
      <c r="G22" t="s">
        <v>586</v>
      </c>
      <c r="H22" t="s">
        <v>585</v>
      </c>
      <c r="I22" s="35" t="s">
        <v>587</v>
      </c>
      <c r="J22" s="35" t="s">
        <v>586</v>
      </c>
      <c r="K22" s="35" t="s">
        <v>585</v>
      </c>
      <c r="L22" s="33" t="s">
        <v>587</v>
      </c>
      <c r="M22" s="33" t="s">
        <v>586</v>
      </c>
      <c r="N22" s="33" t="s">
        <v>585</v>
      </c>
    </row>
    <row r="23" spans="3:14" x14ac:dyDescent="0.25">
      <c r="E23" t="s">
        <v>55</v>
      </c>
      <c r="F23" s="41">
        <v>18993044.960792001</v>
      </c>
      <c r="G23" s="41">
        <v>17421640.519680001</v>
      </c>
      <c r="H23" s="41">
        <v>17432651.039616</v>
      </c>
      <c r="I23" s="42">
        <v>0.83199999999999996</v>
      </c>
      <c r="J23" s="42">
        <v>0.86</v>
      </c>
      <c r="K23" s="42">
        <v>0.93400000000000005</v>
      </c>
      <c r="L23" s="41">
        <f t="shared" ref="L23:N24" si="0">F23*(1-I23)</f>
        <v>3190831.5534130568</v>
      </c>
      <c r="M23" s="41">
        <f t="shared" si="0"/>
        <v>2439029.6727552004</v>
      </c>
      <c r="N23" s="41">
        <f t="shared" si="0"/>
        <v>1150554.9686146551</v>
      </c>
    </row>
    <row r="24" spans="3:14" x14ac:dyDescent="0.25">
      <c r="E24" t="s">
        <v>44</v>
      </c>
      <c r="F24" s="41">
        <v>24917980.885489002</v>
      </c>
      <c r="G24" s="41">
        <v>24987583.413312003</v>
      </c>
      <c r="H24" s="41">
        <v>24427329.450749997</v>
      </c>
      <c r="I24" s="42">
        <v>0.64400000000000002</v>
      </c>
      <c r="J24" s="42">
        <v>0.60399999999999998</v>
      </c>
      <c r="K24" s="42">
        <v>0.66200000000000003</v>
      </c>
      <c r="L24" s="41">
        <f t="shared" si="0"/>
        <v>8870801.1952340845</v>
      </c>
      <c r="M24" s="41">
        <f t="shared" si="0"/>
        <v>9895083.0316715539</v>
      </c>
      <c r="N24" s="41">
        <f t="shared" si="0"/>
        <v>8256437.3543534977</v>
      </c>
    </row>
    <row r="25" spans="3:14" x14ac:dyDescent="0.25">
      <c r="E25" t="s">
        <v>2</v>
      </c>
      <c r="F25" s="41">
        <f>SUM(F23:F24)</f>
        <v>43911025.846281007</v>
      </c>
      <c r="G25" s="41">
        <f>SUM(G23:G24)</f>
        <v>42409223.932992004</v>
      </c>
      <c r="H25" s="41">
        <f>SUM(H23:H24)</f>
        <v>41859980.490365997</v>
      </c>
      <c r="I25" s="40"/>
      <c r="J25" s="40"/>
      <c r="K25" s="40"/>
      <c r="L25" s="41">
        <f>SUM(L23:L24)</f>
        <v>12061632.748647142</v>
      </c>
      <c r="M25" s="41">
        <f>SUM(M23:M24)</f>
        <v>12334112.704426754</v>
      </c>
      <c r="N25" s="41">
        <f>SUM(N23:N24)</f>
        <v>9406992.3229681533</v>
      </c>
    </row>
    <row r="28" spans="3:14" x14ac:dyDescent="0.25">
      <c r="I28" s="40"/>
      <c r="J28" s="40"/>
      <c r="K28" s="40"/>
    </row>
  </sheetData>
  <mergeCells count="5">
    <mergeCell ref="C2:E2"/>
    <mergeCell ref="F2:H2"/>
    <mergeCell ref="B2:B3"/>
    <mergeCell ref="I2:K2"/>
    <mergeCell ref="I21:K2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O28"/>
  <sheetViews>
    <sheetView workbookViewId="0">
      <selection activeCell="J15" sqref="J15"/>
    </sheetView>
  </sheetViews>
  <sheetFormatPr defaultColWidth="11.42578125" defaultRowHeight="15" x14ac:dyDescent="0.25"/>
  <cols>
    <col min="1" max="1" width="4.42578125" customWidth="1"/>
    <col min="2" max="2" width="21.85546875" customWidth="1"/>
    <col min="3" max="5" width="14.140625" bestFit="1" customWidth="1"/>
    <col min="6" max="8" width="12.7109375" bestFit="1" customWidth="1"/>
    <col min="9" max="11" width="15.85546875" bestFit="1" customWidth="1"/>
    <col min="12" max="12" width="13.42578125" bestFit="1" customWidth="1"/>
    <col min="13" max="13" width="14.28515625" bestFit="1" customWidth="1"/>
    <col min="14" max="15" width="14.140625" bestFit="1" customWidth="1"/>
  </cols>
  <sheetData>
    <row r="1" spans="2:15" x14ac:dyDescent="0.25">
      <c r="B1" s="46"/>
    </row>
    <row r="2" spans="2:15" ht="61.5" customHeight="1" x14ac:dyDescent="0.25">
      <c r="B2" s="137" t="s">
        <v>603</v>
      </c>
      <c r="C2" s="134" t="s">
        <v>602</v>
      </c>
      <c r="D2" s="134"/>
      <c r="E2" s="134"/>
      <c r="F2" s="134" t="s">
        <v>588</v>
      </c>
      <c r="G2" s="134"/>
      <c r="H2" s="134"/>
      <c r="I2" s="134" t="s">
        <v>601</v>
      </c>
      <c r="J2" s="134"/>
      <c r="K2" s="134"/>
      <c r="L2" t="s">
        <v>605</v>
      </c>
    </row>
    <row r="3" spans="2:15" x14ac:dyDescent="0.25">
      <c r="B3" s="138"/>
      <c r="C3" s="35" t="s">
        <v>587</v>
      </c>
      <c r="D3" s="35" t="s">
        <v>586</v>
      </c>
      <c r="E3" s="35" t="s">
        <v>585</v>
      </c>
      <c r="F3" s="35" t="s">
        <v>587</v>
      </c>
      <c r="G3" s="35" t="s">
        <v>586</v>
      </c>
      <c r="H3" s="35" t="s">
        <v>585</v>
      </c>
      <c r="I3" s="35" t="s">
        <v>587</v>
      </c>
      <c r="J3" s="35" t="s">
        <v>586</v>
      </c>
      <c r="K3" s="35" t="s">
        <v>585</v>
      </c>
      <c r="L3" s="35" t="s">
        <v>587</v>
      </c>
      <c r="M3" s="35" t="s">
        <v>586</v>
      </c>
      <c r="N3" s="35" t="s">
        <v>585</v>
      </c>
    </row>
    <row r="5" spans="2:15" x14ac:dyDescent="0.25">
      <c r="B5" t="s">
        <v>366</v>
      </c>
      <c r="C5" s="49">
        <v>12291397.17</v>
      </c>
      <c r="D5" s="49">
        <v>12191927.619999999</v>
      </c>
      <c r="E5" s="49">
        <v>12456728.970000001</v>
      </c>
      <c r="F5" s="49">
        <v>92.27234</v>
      </c>
      <c r="G5" s="49">
        <v>93.404259999999994</v>
      </c>
      <c r="H5" s="49">
        <v>93.578720000000004</v>
      </c>
      <c r="I5" s="49">
        <v>967320.68</v>
      </c>
      <c r="J5" s="49">
        <v>656154.89</v>
      </c>
      <c r="K5" s="49">
        <v>590786.14</v>
      </c>
      <c r="L5" s="51">
        <f>I5/I10</f>
        <v>3.0000146824830726E-2</v>
      </c>
      <c r="M5" s="51">
        <f>J5/J10</f>
        <v>2.1743645347211057E-2</v>
      </c>
      <c r="N5" s="51">
        <f>K5/K10</f>
        <v>2.0820107720379684E-2</v>
      </c>
      <c r="O5" s="30"/>
    </row>
    <row r="6" spans="2:15" x14ac:dyDescent="0.25">
      <c r="B6" t="s">
        <v>353</v>
      </c>
      <c r="C6" s="49">
        <v>19912420.010000002</v>
      </c>
      <c r="D6" s="49">
        <v>21316118.050000001</v>
      </c>
      <c r="E6" s="49">
        <v>22822767.850000001</v>
      </c>
      <c r="F6" s="49">
        <v>60.866669999999999</v>
      </c>
      <c r="G6" s="49">
        <v>67.476920000000007</v>
      </c>
      <c r="H6" s="49">
        <v>75.815380000000005</v>
      </c>
      <c r="I6" s="49">
        <v>7286980.1100000003</v>
      </c>
      <c r="J6" s="49">
        <v>6321714.96</v>
      </c>
      <c r="K6" s="49">
        <v>4903682.91</v>
      </c>
      <c r="L6" s="51">
        <f>I6/I10</f>
        <v>0.22599586438038435</v>
      </c>
      <c r="M6" s="51">
        <f>J6/J10</f>
        <v>0.20948884199643553</v>
      </c>
      <c r="N6" s="51">
        <f>K6/K10</f>
        <v>0.17281246038166181</v>
      </c>
      <c r="O6" s="30"/>
    </row>
    <row r="7" spans="2:15" x14ac:dyDescent="0.25">
      <c r="B7" t="s">
        <v>356</v>
      </c>
      <c r="C7" s="49">
        <f>72326477.51-F25</f>
        <v>28415451.663718998</v>
      </c>
      <c r="D7" s="49">
        <f>72326477.51-G25</f>
        <v>29917253.577008002</v>
      </c>
      <c r="E7" s="49">
        <f>72326477.51-H25</f>
        <v>30466497.019634008</v>
      </c>
      <c r="F7" s="49">
        <v>77.563999999999993</v>
      </c>
      <c r="G7" s="49">
        <v>81.459999999999994</v>
      </c>
      <c r="H7" s="49">
        <v>86.135999999999996</v>
      </c>
      <c r="I7" s="49">
        <f>21706298.78-L25</f>
        <v>9644666.031352859</v>
      </c>
      <c r="J7" s="49">
        <f>21706298.78-M25</f>
        <v>9372186.0755732469</v>
      </c>
      <c r="K7" s="49">
        <f>21706298.78-N25</f>
        <v>12299306.457031848</v>
      </c>
      <c r="L7" s="50">
        <f>I7/I10</f>
        <v>0.29911631478512712</v>
      </c>
      <c r="M7" s="50">
        <f>J7/J10</f>
        <v>0.31057528224065278</v>
      </c>
      <c r="N7" s="50">
        <f>K7/K10</f>
        <v>0.43344430070983803</v>
      </c>
      <c r="O7" s="30"/>
    </row>
    <row r="8" spans="2:15" x14ac:dyDescent="0.25">
      <c r="B8" s="46" t="s">
        <v>361</v>
      </c>
      <c r="C8" s="45">
        <v>16292046.73</v>
      </c>
      <c r="D8" s="45">
        <v>16339441.699999999</v>
      </c>
      <c r="E8" s="45">
        <v>16118425.460000001</v>
      </c>
      <c r="F8" s="45">
        <v>87.263159999999999</v>
      </c>
      <c r="G8" s="45">
        <v>88.1</v>
      </c>
      <c r="H8" s="45">
        <v>90.352630000000005</v>
      </c>
      <c r="I8" s="45">
        <v>2283265.29</v>
      </c>
      <c r="J8" s="45">
        <v>1492689</v>
      </c>
      <c r="K8" s="45">
        <v>1174980.6499999999</v>
      </c>
      <c r="L8" s="51">
        <f>I8/I10</f>
        <v>7.0812394851353433E-2</v>
      </c>
      <c r="M8" s="51">
        <f>J8/J10</f>
        <v>4.9464693053926839E-2</v>
      </c>
      <c r="N8" s="51">
        <f>K8/K10</f>
        <v>4.1407917427381993E-2</v>
      </c>
      <c r="O8" s="30"/>
    </row>
    <row r="9" spans="2:15" x14ac:dyDescent="0.25">
      <c r="B9" s="48" t="s">
        <v>604</v>
      </c>
      <c r="C9" s="41">
        <f>F25</f>
        <v>43911025.846281007</v>
      </c>
      <c r="D9" s="41">
        <f>G25</f>
        <v>42409223.932992004</v>
      </c>
      <c r="E9" s="41">
        <f>H25</f>
        <v>41859980.490365997</v>
      </c>
      <c r="F9" s="47">
        <v>74</v>
      </c>
      <c r="G9" s="47">
        <v>73</v>
      </c>
      <c r="H9" s="47">
        <v>80</v>
      </c>
      <c r="I9" s="41">
        <f>L25</f>
        <v>12061632.748647142</v>
      </c>
      <c r="J9" s="41">
        <f>M25</f>
        <v>12334112.704426754</v>
      </c>
      <c r="K9" s="41">
        <f>N25</f>
        <v>9406992.3229681533</v>
      </c>
      <c r="L9" s="50">
        <f>I9/I10</f>
        <v>0.37407527915830441</v>
      </c>
      <c r="M9" s="50">
        <f>J9/J10</f>
        <v>0.40872753736177381</v>
      </c>
      <c r="N9" s="50">
        <f>K9/K10</f>
        <v>0.33151521376073861</v>
      </c>
    </row>
    <row r="10" spans="2:15" x14ac:dyDescent="0.25">
      <c r="B10" s="46" t="s">
        <v>600</v>
      </c>
      <c r="C10" s="45">
        <v>120822341.42</v>
      </c>
      <c r="D10" s="45">
        <v>121820365.13</v>
      </c>
      <c r="E10" s="45">
        <v>124158821.04000001</v>
      </c>
      <c r="F10" s="45">
        <v>79.912639999999996</v>
      </c>
      <c r="G10" s="45">
        <v>83.002300000000005</v>
      </c>
      <c r="H10" s="45">
        <v>86.754019999999997</v>
      </c>
      <c r="I10" s="45">
        <f>SUM(I5:I9)</f>
        <v>32243864.859999999</v>
      </c>
      <c r="J10" s="45">
        <f>SUM(J5:J9)</f>
        <v>30176857.629999999</v>
      </c>
      <c r="K10" s="45">
        <f>SUM(K5:K9)</f>
        <v>28375748.479999997</v>
      </c>
      <c r="M10" s="44"/>
      <c r="N10" s="44"/>
      <c r="O10" s="44"/>
    </row>
    <row r="12" spans="2:15" x14ac:dyDescent="0.25">
      <c r="B12" t="s">
        <v>352</v>
      </c>
      <c r="I12" s="43"/>
      <c r="J12" s="43"/>
      <c r="K12" s="43"/>
    </row>
    <row r="13" spans="2:15" x14ac:dyDescent="0.25">
      <c r="B13" t="s">
        <v>351</v>
      </c>
    </row>
    <row r="14" spans="2:15" x14ac:dyDescent="0.25">
      <c r="B14" t="s">
        <v>350</v>
      </c>
    </row>
    <row r="15" spans="2:15" x14ac:dyDescent="0.25">
      <c r="B15" t="s">
        <v>349</v>
      </c>
    </row>
    <row r="21" spans="5:14" ht="15" customHeight="1" x14ac:dyDescent="0.25">
      <c r="F21" t="s">
        <v>589</v>
      </c>
      <c r="I21" s="134" t="s">
        <v>588</v>
      </c>
      <c r="J21" s="134"/>
      <c r="K21" s="134"/>
      <c r="L21" t="s">
        <v>598</v>
      </c>
    </row>
    <row r="22" spans="5:14" x14ac:dyDescent="0.25">
      <c r="F22" t="s">
        <v>587</v>
      </c>
      <c r="G22" t="s">
        <v>586</v>
      </c>
      <c r="H22" t="s">
        <v>585</v>
      </c>
      <c r="I22" s="35" t="s">
        <v>587</v>
      </c>
      <c r="J22" s="35" t="s">
        <v>586</v>
      </c>
      <c r="K22" s="35" t="s">
        <v>585</v>
      </c>
      <c r="L22" s="33" t="s">
        <v>587</v>
      </c>
      <c r="M22" s="33" t="s">
        <v>586</v>
      </c>
      <c r="N22" s="33" t="s">
        <v>585</v>
      </c>
    </row>
    <row r="23" spans="5:14" x14ac:dyDescent="0.25">
      <c r="E23" t="s">
        <v>55</v>
      </c>
      <c r="F23" s="41">
        <v>18993044.960792001</v>
      </c>
      <c r="G23" s="41">
        <v>17421640.519680001</v>
      </c>
      <c r="H23" s="41">
        <v>17432651.039616</v>
      </c>
      <c r="I23" s="42">
        <v>0.83199999999999996</v>
      </c>
      <c r="J23" s="42">
        <v>0.86</v>
      </c>
      <c r="K23" s="42">
        <v>0.93400000000000005</v>
      </c>
      <c r="L23" s="41">
        <f t="shared" ref="L23:N24" si="0">F23*(1-I23)</f>
        <v>3190831.5534130568</v>
      </c>
      <c r="M23" s="41">
        <f t="shared" si="0"/>
        <v>2439029.6727552004</v>
      </c>
      <c r="N23" s="41">
        <f t="shared" si="0"/>
        <v>1150554.9686146551</v>
      </c>
    </row>
    <row r="24" spans="5:14" x14ac:dyDescent="0.25">
      <c r="E24" t="s">
        <v>44</v>
      </c>
      <c r="F24" s="41">
        <v>24917980.885489002</v>
      </c>
      <c r="G24" s="41">
        <v>24987583.413312003</v>
      </c>
      <c r="H24" s="41">
        <v>24427329.450749997</v>
      </c>
      <c r="I24" s="42">
        <v>0.64400000000000002</v>
      </c>
      <c r="J24" s="42">
        <v>0.60399999999999998</v>
      </c>
      <c r="K24" s="42">
        <v>0.66200000000000003</v>
      </c>
      <c r="L24" s="41">
        <f t="shared" si="0"/>
        <v>8870801.1952340845</v>
      </c>
      <c r="M24" s="41">
        <f t="shared" si="0"/>
        <v>9895083.0316715539</v>
      </c>
      <c r="N24" s="41">
        <f t="shared" si="0"/>
        <v>8256437.3543534977</v>
      </c>
    </row>
    <row r="25" spans="5:14" x14ac:dyDescent="0.25">
      <c r="E25" t="s">
        <v>2</v>
      </c>
      <c r="F25" s="41">
        <f>SUM(F23:F24)</f>
        <v>43911025.846281007</v>
      </c>
      <c r="G25" s="41">
        <f>SUM(G23:G24)</f>
        <v>42409223.932992004</v>
      </c>
      <c r="H25" s="41">
        <f>SUM(H23:H24)</f>
        <v>41859980.490365997</v>
      </c>
      <c r="I25" s="42">
        <f>AVERAGE(I23:I24)</f>
        <v>0.73799999999999999</v>
      </c>
      <c r="J25" s="42">
        <f>AVERAGE(J23:J24)</f>
        <v>0.73199999999999998</v>
      </c>
      <c r="K25" s="42">
        <f>AVERAGE(K23:K24)</f>
        <v>0.79800000000000004</v>
      </c>
      <c r="L25" s="41">
        <f>SUM(L23:L24)</f>
        <v>12061632.748647142</v>
      </c>
      <c r="M25" s="41">
        <f>SUM(M23:M24)</f>
        <v>12334112.704426754</v>
      </c>
      <c r="N25" s="41">
        <f>SUM(N23:N24)</f>
        <v>9406992.3229681533</v>
      </c>
    </row>
    <row r="28" spans="5:14" x14ac:dyDescent="0.25">
      <c r="I28" s="40"/>
      <c r="J28" s="40"/>
      <c r="K28" s="40"/>
    </row>
  </sheetData>
  <mergeCells count="5">
    <mergeCell ref="B2:B3"/>
    <mergeCell ref="C2:E2"/>
    <mergeCell ref="F2:H2"/>
    <mergeCell ref="I2:K2"/>
    <mergeCell ref="I21:K2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8"/>
  <sheetViews>
    <sheetView workbookViewId="0">
      <selection activeCell="E27" sqref="E27"/>
    </sheetView>
  </sheetViews>
  <sheetFormatPr defaultRowHeight="15" x14ac:dyDescent="0.25"/>
  <cols>
    <col min="1" max="1" width="20.42578125" bestFit="1" customWidth="1"/>
    <col min="2" max="4" width="12" bestFit="1" customWidth="1"/>
    <col min="5" max="5" width="9.7109375" bestFit="1" customWidth="1"/>
    <col min="6" max="7" width="12" bestFit="1" customWidth="1"/>
  </cols>
  <sheetData>
    <row r="1" spans="1:7" x14ac:dyDescent="0.25">
      <c r="A1" s="46" t="s">
        <v>603</v>
      </c>
      <c r="B1" s="139" t="s">
        <v>607</v>
      </c>
      <c r="C1" s="139"/>
      <c r="D1" s="139"/>
      <c r="E1" s="139" t="s">
        <v>606</v>
      </c>
      <c r="F1" s="139"/>
      <c r="G1" s="139"/>
    </row>
    <row r="2" spans="1:7" x14ac:dyDescent="0.25">
      <c r="B2" t="s">
        <v>587</v>
      </c>
      <c r="C2" t="s">
        <v>586</v>
      </c>
      <c r="D2" t="s">
        <v>585</v>
      </c>
      <c r="E2" t="s">
        <v>587</v>
      </c>
      <c r="F2" t="s">
        <v>586</v>
      </c>
      <c r="G2" t="s">
        <v>585</v>
      </c>
    </row>
    <row r="3" spans="1:7" x14ac:dyDescent="0.25">
      <c r="A3" t="s">
        <v>366</v>
      </c>
      <c r="B3" s="7">
        <v>12291397.17</v>
      </c>
      <c r="C3" s="7">
        <v>12191927.619999999</v>
      </c>
      <c r="D3" s="7">
        <v>12456728.970000001</v>
      </c>
      <c r="E3" s="51">
        <v>3.0000146824830726E-2</v>
      </c>
      <c r="F3" s="51">
        <v>2.1743645347211057E-2</v>
      </c>
      <c r="G3" s="51">
        <v>2.0820107720379684E-2</v>
      </c>
    </row>
    <row r="4" spans="1:7" x14ac:dyDescent="0.25">
      <c r="A4" t="s">
        <v>353</v>
      </c>
      <c r="B4" s="7">
        <v>19912420.010000002</v>
      </c>
      <c r="C4" s="7">
        <v>21316118.050000001</v>
      </c>
      <c r="D4" s="7">
        <v>22822767.850000001</v>
      </c>
      <c r="E4" s="51">
        <v>0.22599586438038435</v>
      </c>
      <c r="F4" s="51">
        <v>0.20948884199643553</v>
      </c>
      <c r="G4" s="51">
        <v>0.17281246038166181</v>
      </c>
    </row>
    <row r="5" spans="1:7" x14ac:dyDescent="0.25">
      <c r="A5" t="s">
        <v>356</v>
      </c>
      <c r="B5" s="7">
        <v>28415451.663718998</v>
      </c>
      <c r="C5" s="7">
        <v>29917253.577008002</v>
      </c>
      <c r="D5" s="7">
        <v>30466497.019634008</v>
      </c>
      <c r="E5" s="50">
        <v>0.29911631478512712</v>
      </c>
      <c r="F5" s="50">
        <v>0.31057528224065278</v>
      </c>
      <c r="G5" s="50">
        <v>0.43344430070983803</v>
      </c>
    </row>
    <row r="6" spans="1:7" x14ac:dyDescent="0.25">
      <c r="A6" t="s">
        <v>361</v>
      </c>
      <c r="B6" s="7">
        <v>16292046.73</v>
      </c>
      <c r="C6" s="7">
        <v>16339441.699999999</v>
      </c>
      <c r="D6" s="7">
        <v>16118425.460000001</v>
      </c>
      <c r="E6" s="51">
        <v>7.0812394851353433E-2</v>
      </c>
      <c r="F6" s="51">
        <v>4.9464693053926839E-2</v>
      </c>
      <c r="G6" s="51">
        <v>4.1407917427381993E-2</v>
      </c>
    </row>
    <row r="7" spans="1:7" x14ac:dyDescent="0.25">
      <c r="A7" t="s">
        <v>604</v>
      </c>
      <c r="B7" s="7">
        <v>43911025.846281007</v>
      </c>
      <c r="C7" s="7">
        <v>42409223.932992004</v>
      </c>
      <c r="D7" s="7">
        <v>41859980.490365997</v>
      </c>
      <c r="E7" s="50">
        <v>0.37407527915830441</v>
      </c>
      <c r="F7" s="50">
        <v>0.40872753736177381</v>
      </c>
      <c r="G7" s="50">
        <v>0.33151521376073861</v>
      </c>
    </row>
    <row r="8" spans="1:7" x14ac:dyDescent="0.25">
      <c r="A8" t="s">
        <v>600</v>
      </c>
      <c r="B8" s="7">
        <v>120822341.42</v>
      </c>
      <c r="C8" s="7">
        <v>121820365.13</v>
      </c>
      <c r="D8" s="7">
        <v>124158821.04000001</v>
      </c>
    </row>
  </sheetData>
  <mergeCells count="2">
    <mergeCell ref="B1:D1"/>
    <mergeCell ref="E1:G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42"/>
  <sheetViews>
    <sheetView workbookViewId="0">
      <selection activeCell="E15" sqref="E15"/>
    </sheetView>
  </sheetViews>
  <sheetFormatPr defaultColWidth="8.85546875" defaultRowHeight="15" x14ac:dyDescent="0.25"/>
  <cols>
    <col min="1" max="1" width="22.42578125" customWidth="1"/>
  </cols>
  <sheetData>
    <row r="1" spans="1:8" x14ac:dyDescent="0.25">
      <c r="A1" s="5" t="s">
        <v>66</v>
      </c>
      <c r="B1" s="3">
        <v>2010</v>
      </c>
      <c r="C1" s="3">
        <v>2015</v>
      </c>
      <c r="D1" s="3">
        <v>2020</v>
      </c>
      <c r="E1" s="3" t="s">
        <v>65</v>
      </c>
      <c r="G1" t="s">
        <v>64</v>
      </c>
      <c r="H1" t="s">
        <v>63</v>
      </c>
    </row>
    <row r="2" spans="1:8" x14ac:dyDescent="0.25">
      <c r="A2" t="s">
        <v>106</v>
      </c>
      <c r="B2">
        <v>5546</v>
      </c>
      <c r="C2">
        <v>6198</v>
      </c>
      <c r="D2">
        <v>6772</v>
      </c>
      <c r="E2" s="1" t="s">
        <v>3</v>
      </c>
    </row>
    <row r="3" spans="1:8" x14ac:dyDescent="0.25">
      <c r="A3" t="s">
        <v>105</v>
      </c>
      <c r="B3">
        <v>14707</v>
      </c>
      <c r="C3">
        <v>14317</v>
      </c>
      <c r="D3">
        <v>13839</v>
      </c>
      <c r="E3" s="1" t="s">
        <v>3</v>
      </c>
    </row>
    <row r="4" spans="1:8" x14ac:dyDescent="0.25">
      <c r="A4" s="4" t="s">
        <v>104</v>
      </c>
      <c r="B4">
        <v>1506</v>
      </c>
      <c r="C4">
        <v>1647</v>
      </c>
      <c r="D4">
        <v>1783</v>
      </c>
      <c r="E4" s="1" t="s">
        <v>3</v>
      </c>
    </row>
    <row r="5" spans="1:8" x14ac:dyDescent="0.25">
      <c r="A5" s="4" t="s">
        <v>103</v>
      </c>
      <c r="B5">
        <v>2955</v>
      </c>
      <c r="C5">
        <v>3369</v>
      </c>
      <c r="D5">
        <v>3795</v>
      </c>
      <c r="E5" s="1" t="s">
        <v>3</v>
      </c>
    </row>
    <row r="6" spans="1:8" x14ac:dyDescent="0.25">
      <c r="A6" t="s">
        <v>102</v>
      </c>
      <c r="B6">
        <v>1185</v>
      </c>
      <c r="C6">
        <v>1298</v>
      </c>
      <c r="D6">
        <v>1296</v>
      </c>
      <c r="E6" s="1" t="s">
        <v>3</v>
      </c>
    </row>
    <row r="7" spans="1:8" x14ac:dyDescent="0.25">
      <c r="A7" t="s">
        <v>101</v>
      </c>
      <c r="B7">
        <v>1492</v>
      </c>
      <c r="C7">
        <v>1483</v>
      </c>
      <c r="D7">
        <v>1452</v>
      </c>
      <c r="E7" s="1" t="s">
        <v>3</v>
      </c>
    </row>
    <row r="8" spans="1:8" x14ac:dyDescent="0.25">
      <c r="A8" t="s">
        <v>100</v>
      </c>
      <c r="B8">
        <v>651</v>
      </c>
      <c r="C8">
        <v>704</v>
      </c>
      <c r="D8">
        <v>746</v>
      </c>
      <c r="E8" s="1" t="s">
        <v>3</v>
      </c>
    </row>
    <row r="9" spans="1:8" x14ac:dyDescent="0.25">
      <c r="A9" t="s">
        <v>99</v>
      </c>
      <c r="B9">
        <v>2006</v>
      </c>
      <c r="C9">
        <v>2190</v>
      </c>
      <c r="D9">
        <v>2367</v>
      </c>
      <c r="E9" s="1" t="s">
        <v>3</v>
      </c>
    </row>
    <row r="10" spans="1:8" x14ac:dyDescent="0.25">
      <c r="A10" t="s">
        <v>98</v>
      </c>
      <c r="B10">
        <v>122</v>
      </c>
      <c r="C10">
        <v>129</v>
      </c>
      <c r="D10">
        <v>134</v>
      </c>
      <c r="E10" s="1" t="s">
        <v>3</v>
      </c>
    </row>
    <row r="11" spans="1:8" x14ac:dyDescent="0.25">
      <c r="A11" t="s">
        <v>97</v>
      </c>
      <c r="B11">
        <v>11848</v>
      </c>
      <c r="C11">
        <v>12822</v>
      </c>
      <c r="D11">
        <v>13721</v>
      </c>
      <c r="E11" s="1" t="s">
        <v>3</v>
      </c>
    </row>
    <row r="12" spans="1:8" x14ac:dyDescent="0.25">
      <c r="A12" t="s">
        <v>96</v>
      </c>
      <c r="B12">
        <v>861</v>
      </c>
      <c r="C12">
        <v>924</v>
      </c>
      <c r="D12">
        <v>939</v>
      </c>
      <c r="E12" s="1" t="s">
        <v>3</v>
      </c>
    </row>
    <row r="13" spans="1:8" x14ac:dyDescent="0.25">
      <c r="A13" t="s">
        <v>95</v>
      </c>
      <c r="B13">
        <v>11932</v>
      </c>
      <c r="C13">
        <v>12111</v>
      </c>
      <c r="D13">
        <v>12258</v>
      </c>
      <c r="E13" s="1" t="s">
        <v>3</v>
      </c>
    </row>
    <row r="14" spans="1:8" x14ac:dyDescent="0.25">
      <c r="A14" t="s">
        <v>94</v>
      </c>
      <c r="B14">
        <v>287</v>
      </c>
      <c r="C14">
        <v>313</v>
      </c>
      <c r="D14">
        <v>336</v>
      </c>
      <c r="E14" s="1" t="s">
        <v>3</v>
      </c>
    </row>
    <row r="15" spans="1:8" x14ac:dyDescent="0.25">
      <c r="A15" t="s">
        <v>93</v>
      </c>
      <c r="B15">
        <v>3533</v>
      </c>
      <c r="C15">
        <v>3716</v>
      </c>
      <c r="D15">
        <v>3868</v>
      </c>
      <c r="E15" s="1" t="s">
        <v>3</v>
      </c>
    </row>
    <row r="16" spans="1:8" x14ac:dyDescent="0.25">
      <c r="A16" t="s">
        <v>92</v>
      </c>
      <c r="B16">
        <v>1658</v>
      </c>
      <c r="C16">
        <v>1798</v>
      </c>
      <c r="D16">
        <v>1932</v>
      </c>
      <c r="E16" s="1" t="s">
        <v>3</v>
      </c>
    </row>
    <row r="17" spans="1:5" x14ac:dyDescent="0.25">
      <c r="A17" t="s">
        <v>91</v>
      </c>
      <c r="B17">
        <v>240</v>
      </c>
      <c r="C17">
        <v>257</v>
      </c>
      <c r="D17">
        <v>277</v>
      </c>
      <c r="E17" s="1" t="s">
        <v>3</v>
      </c>
    </row>
    <row r="18" spans="1:5" x14ac:dyDescent="0.25">
      <c r="A18" t="s">
        <v>90</v>
      </c>
      <c r="B18">
        <v>1237</v>
      </c>
      <c r="C18">
        <v>1240</v>
      </c>
      <c r="D18">
        <v>1232</v>
      </c>
      <c r="E18" s="1" t="s">
        <v>3</v>
      </c>
    </row>
    <row r="19" spans="1:5" x14ac:dyDescent="0.25">
      <c r="A19" t="s">
        <v>89</v>
      </c>
      <c r="B19">
        <v>6664</v>
      </c>
      <c r="C19">
        <v>7460</v>
      </c>
      <c r="D19">
        <v>7986</v>
      </c>
      <c r="E19" s="1" t="s">
        <v>3</v>
      </c>
    </row>
    <row r="20" spans="1:5" x14ac:dyDescent="0.25">
      <c r="A20" t="s">
        <v>88</v>
      </c>
      <c r="B20">
        <v>1704</v>
      </c>
      <c r="C20">
        <v>1700</v>
      </c>
      <c r="D20">
        <v>1759</v>
      </c>
      <c r="E20" s="1" t="s">
        <v>3</v>
      </c>
    </row>
    <row r="21" spans="1:5" x14ac:dyDescent="0.25">
      <c r="A21" t="s">
        <v>87</v>
      </c>
      <c r="B21">
        <v>595</v>
      </c>
      <c r="C21">
        <v>627</v>
      </c>
      <c r="D21">
        <v>628</v>
      </c>
      <c r="E21" s="1" t="s">
        <v>3</v>
      </c>
    </row>
    <row r="22" spans="1:5" x14ac:dyDescent="0.25">
      <c r="A22" t="s">
        <v>86</v>
      </c>
      <c r="B22">
        <v>683</v>
      </c>
      <c r="C22">
        <v>668</v>
      </c>
      <c r="D22">
        <v>665</v>
      </c>
      <c r="E22" s="1" t="s">
        <v>3</v>
      </c>
    </row>
    <row r="23" spans="1:5" x14ac:dyDescent="0.25">
      <c r="A23" t="s">
        <v>85</v>
      </c>
      <c r="B23">
        <v>681</v>
      </c>
      <c r="C23">
        <v>732</v>
      </c>
      <c r="D23">
        <v>785</v>
      </c>
      <c r="E23" s="1" t="s">
        <v>3</v>
      </c>
    </row>
    <row r="24" spans="1:5" x14ac:dyDescent="0.25">
      <c r="A24" t="s">
        <v>84</v>
      </c>
      <c r="B24">
        <v>3305</v>
      </c>
      <c r="C24">
        <v>3670</v>
      </c>
      <c r="D24">
        <v>4081</v>
      </c>
      <c r="E24" s="1" t="s">
        <v>3</v>
      </c>
    </row>
    <row r="25" spans="1:5" x14ac:dyDescent="0.25">
      <c r="A25" t="s">
        <v>83</v>
      </c>
      <c r="B25">
        <v>2715</v>
      </c>
      <c r="C25">
        <v>3254</v>
      </c>
      <c r="D25">
        <v>3838</v>
      </c>
      <c r="E25" s="1" t="s">
        <v>3</v>
      </c>
    </row>
    <row r="26" spans="1:5" x14ac:dyDescent="0.25">
      <c r="A26" t="s">
        <v>82</v>
      </c>
      <c r="B26">
        <v>2912</v>
      </c>
      <c r="C26">
        <v>3248</v>
      </c>
      <c r="D26">
        <v>3601</v>
      </c>
      <c r="E26" s="1" t="s">
        <v>3</v>
      </c>
    </row>
    <row r="27" spans="1:5" x14ac:dyDescent="0.25">
      <c r="A27" t="s">
        <v>81</v>
      </c>
      <c r="B27">
        <v>513</v>
      </c>
      <c r="C27">
        <v>547</v>
      </c>
      <c r="D27">
        <v>576</v>
      </c>
      <c r="E27" s="1" t="s">
        <v>3</v>
      </c>
    </row>
    <row r="28" spans="1:5" x14ac:dyDescent="0.25">
      <c r="A28" t="s">
        <v>80</v>
      </c>
      <c r="B28">
        <v>3876</v>
      </c>
      <c r="C28">
        <v>4073</v>
      </c>
      <c r="D28">
        <v>4358</v>
      </c>
      <c r="E28" s="1" t="s">
        <v>3</v>
      </c>
    </row>
    <row r="29" spans="1:5" x14ac:dyDescent="0.25">
      <c r="A29" t="s">
        <v>79</v>
      </c>
      <c r="B29">
        <v>3956</v>
      </c>
      <c r="C29">
        <v>3870</v>
      </c>
      <c r="D29">
        <v>3744</v>
      </c>
      <c r="E29" s="1" t="s">
        <v>3</v>
      </c>
    </row>
    <row r="30" spans="1:5" x14ac:dyDescent="0.25">
      <c r="A30" t="s">
        <v>78</v>
      </c>
      <c r="B30">
        <v>3506</v>
      </c>
      <c r="C30">
        <v>3498</v>
      </c>
      <c r="D30">
        <v>3515</v>
      </c>
      <c r="E30" s="1" t="s">
        <v>3</v>
      </c>
    </row>
    <row r="31" spans="1:5" x14ac:dyDescent="0.25">
      <c r="A31" t="s">
        <v>77</v>
      </c>
      <c r="B31">
        <v>3085</v>
      </c>
      <c r="C31">
        <v>3602</v>
      </c>
      <c r="D31">
        <v>4241</v>
      </c>
      <c r="E31" s="1" t="s">
        <v>3</v>
      </c>
    </row>
    <row r="32" spans="1:5" x14ac:dyDescent="0.25">
      <c r="A32" t="s">
        <v>76</v>
      </c>
      <c r="B32">
        <v>1831</v>
      </c>
      <c r="C32">
        <v>2128</v>
      </c>
      <c r="D32">
        <v>2251</v>
      </c>
      <c r="E32" s="1" t="s">
        <v>3</v>
      </c>
    </row>
    <row r="33" spans="1:5" x14ac:dyDescent="0.25">
      <c r="A33" t="s">
        <v>75</v>
      </c>
      <c r="B33">
        <v>970</v>
      </c>
      <c r="C33">
        <v>986</v>
      </c>
      <c r="D33">
        <v>1016</v>
      </c>
      <c r="E33" s="1" t="s">
        <v>3</v>
      </c>
    </row>
    <row r="34" spans="1:5" x14ac:dyDescent="0.25">
      <c r="A34" t="s">
        <v>74</v>
      </c>
      <c r="B34">
        <v>80</v>
      </c>
      <c r="C34">
        <v>84</v>
      </c>
      <c r="D34">
        <v>88</v>
      </c>
      <c r="E34" s="1" t="s">
        <v>3</v>
      </c>
    </row>
    <row r="35" spans="1:5" x14ac:dyDescent="0.25">
      <c r="A35" t="s">
        <v>73</v>
      </c>
      <c r="B35">
        <v>1667</v>
      </c>
      <c r="C35">
        <v>1862</v>
      </c>
      <c r="D35">
        <v>2157</v>
      </c>
      <c r="E35" s="1" t="s">
        <v>3</v>
      </c>
    </row>
    <row r="36" spans="1:5" x14ac:dyDescent="0.25">
      <c r="A36" t="s">
        <v>72</v>
      </c>
      <c r="B36">
        <v>871</v>
      </c>
      <c r="C36">
        <v>925</v>
      </c>
      <c r="D36">
        <v>957</v>
      </c>
      <c r="E36" s="1" t="s">
        <v>3</v>
      </c>
    </row>
    <row r="37" spans="1:5" x14ac:dyDescent="0.25">
      <c r="A37" t="s">
        <v>71</v>
      </c>
      <c r="B37">
        <v>8010</v>
      </c>
      <c r="C37">
        <v>9305</v>
      </c>
      <c r="D37">
        <v>10654</v>
      </c>
      <c r="E37" s="1" t="s">
        <v>3</v>
      </c>
    </row>
    <row r="38" spans="1:5" x14ac:dyDescent="0.25">
      <c r="A38" t="s">
        <v>70</v>
      </c>
      <c r="B38">
        <v>863</v>
      </c>
      <c r="C38">
        <v>903</v>
      </c>
      <c r="D38">
        <v>933</v>
      </c>
      <c r="E38" s="1" t="s">
        <v>3</v>
      </c>
    </row>
    <row r="39" spans="1:5" x14ac:dyDescent="0.25">
      <c r="A39" t="s">
        <v>69</v>
      </c>
      <c r="B39">
        <v>6465</v>
      </c>
      <c r="C39">
        <v>7244</v>
      </c>
      <c r="D39">
        <v>8007</v>
      </c>
      <c r="E39" s="1" t="s">
        <v>3</v>
      </c>
    </row>
    <row r="40" spans="1:5" x14ac:dyDescent="0.25">
      <c r="A40" t="s">
        <v>68</v>
      </c>
      <c r="B40">
        <v>2412</v>
      </c>
      <c r="C40">
        <v>2966</v>
      </c>
      <c r="D40">
        <v>3492</v>
      </c>
      <c r="E40" s="1" t="s">
        <v>3</v>
      </c>
    </row>
    <row r="41" spans="1:5" x14ac:dyDescent="0.25">
      <c r="A41" t="s">
        <v>67</v>
      </c>
      <c r="B41">
        <v>1692</v>
      </c>
      <c r="C41">
        <v>1808</v>
      </c>
      <c r="D41">
        <v>1921</v>
      </c>
      <c r="E41" s="1" t="s">
        <v>3</v>
      </c>
    </row>
    <row r="42" spans="1:5" x14ac:dyDescent="0.25">
      <c r="A42" t="s">
        <v>2</v>
      </c>
      <c r="B42">
        <f>SUM(B2:B41)</f>
        <v>120822</v>
      </c>
      <c r="C42">
        <f>SUM(C2:C41)</f>
        <v>129676</v>
      </c>
      <c r="D42">
        <f>SUM(D2:D41)</f>
        <v>138000</v>
      </c>
    </row>
  </sheetData>
  <autoFilter ref="A1:E4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106"/>
  <sheetViews>
    <sheetView workbookViewId="0">
      <selection activeCell="B30" sqref="B29:B30"/>
    </sheetView>
  </sheetViews>
  <sheetFormatPr defaultRowHeight="15" x14ac:dyDescent="0.25"/>
  <cols>
    <col min="1" max="1" width="43.85546875" style="89" bestFit="1" customWidth="1"/>
    <col min="2" max="2" width="43.85546875" style="89" customWidth="1"/>
    <col min="3" max="3" width="17.5703125" style="89" bestFit="1" customWidth="1"/>
    <col min="4" max="4" width="22.140625" style="89" bestFit="1" customWidth="1"/>
    <col min="5" max="7" width="9.140625" style="89"/>
    <col min="8" max="8" width="12.7109375" style="89" bestFit="1" customWidth="1"/>
    <col min="9" max="16384" width="9.140625" style="89"/>
  </cols>
  <sheetData>
    <row r="1" spans="1:8" x14ac:dyDescent="0.25">
      <c r="A1" s="89" t="s">
        <v>66</v>
      </c>
      <c r="B1" s="89" t="s">
        <v>695</v>
      </c>
      <c r="C1" s="89" t="s">
        <v>694</v>
      </c>
      <c r="D1" s="89" t="s">
        <v>693</v>
      </c>
    </row>
    <row r="2" spans="1:8" x14ac:dyDescent="0.25">
      <c r="A2" s="89" t="s">
        <v>106</v>
      </c>
      <c r="B2" s="89" t="s">
        <v>617</v>
      </c>
      <c r="C2" s="89">
        <v>547684</v>
      </c>
      <c r="D2" s="89" t="s">
        <v>691</v>
      </c>
      <c r="G2" s="89" t="s">
        <v>692</v>
      </c>
    </row>
    <row r="3" spans="1:8" x14ac:dyDescent="0.25">
      <c r="A3" s="89" t="s">
        <v>106</v>
      </c>
      <c r="B3" s="89" t="s">
        <v>617</v>
      </c>
      <c r="C3" s="89">
        <v>671854</v>
      </c>
      <c r="D3" s="89" t="s">
        <v>666</v>
      </c>
      <c r="G3" s="89" t="s">
        <v>617</v>
      </c>
      <c r="H3" s="90">
        <v>6365342874</v>
      </c>
    </row>
    <row r="4" spans="1:8" x14ac:dyDescent="0.25">
      <c r="A4" s="89" t="s">
        <v>106</v>
      </c>
      <c r="B4" s="89" t="s">
        <v>617</v>
      </c>
      <c r="C4" s="89">
        <v>628166</v>
      </c>
      <c r="D4" s="89" t="s">
        <v>666</v>
      </c>
      <c r="G4" s="89" t="s">
        <v>616</v>
      </c>
      <c r="H4" s="90">
        <v>3024831043</v>
      </c>
    </row>
    <row r="5" spans="1:8" x14ac:dyDescent="0.25">
      <c r="A5" s="89" t="s">
        <v>106</v>
      </c>
      <c r="B5" s="89" t="s">
        <v>617</v>
      </c>
      <c r="C5" s="89">
        <v>464245</v>
      </c>
      <c r="D5" s="89" t="s">
        <v>691</v>
      </c>
      <c r="G5" s="89" t="s">
        <v>637</v>
      </c>
      <c r="H5" s="90">
        <v>2558495586</v>
      </c>
    </row>
    <row r="6" spans="1:8" x14ac:dyDescent="0.25">
      <c r="A6" s="89" t="s">
        <v>106</v>
      </c>
      <c r="B6" s="89" t="s">
        <v>617</v>
      </c>
      <c r="C6" s="89">
        <v>426162</v>
      </c>
      <c r="D6" s="89" t="s">
        <v>691</v>
      </c>
      <c r="G6" s="89" t="s">
        <v>615</v>
      </c>
      <c r="H6" s="90">
        <v>2008913340</v>
      </c>
    </row>
    <row r="7" spans="1:8" x14ac:dyDescent="0.25">
      <c r="A7" s="89" t="s">
        <v>106</v>
      </c>
      <c r="B7" s="89" t="s">
        <v>617</v>
      </c>
      <c r="C7" s="89">
        <v>1687514</v>
      </c>
      <c r="D7" s="89" t="s">
        <v>691</v>
      </c>
      <c r="G7" s="89" t="s">
        <v>639</v>
      </c>
      <c r="H7" s="90">
        <v>43644553</v>
      </c>
    </row>
    <row r="8" spans="1:8" x14ac:dyDescent="0.25">
      <c r="A8" s="89" t="s">
        <v>106</v>
      </c>
      <c r="B8" s="89" t="s">
        <v>617</v>
      </c>
      <c r="C8" s="89">
        <v>2222644.25</v>
      </c>
      <c r="D8" s="89" t="s">
        <v>664</v>
      </c>
    </row>
    <row r="9" spans="1:8" x14ac:dyDescent="0.25">
      <c r="A9" s="89" t="s">
        <v>106</v>
      </c>
      <c r="B9" s="89" t="s">
        <v>617</v>
      </c>
      <c r="C9" s="89">
        <v>1452536.2</v>
      </c>
      <c r="D9" s="89" t="s">
        <v>664</v>
      </c>
    </row>
    <row r="10" spans="1:8" x14ac:dyDescent="0.25">
      <c r="A10" s="89" t="s">
        <v>106</v>
      </c>
      <c r="B10" s="89" t="s">
        <v>617</v>
      </c>
      <c r="C10" s="89">
        <v>3185646.47</v>
      </c>
      <c r="D10" s="89" t="s">
        <v>666</v>
      </c>
    </row>
    <row r="11" spans="1:8" x14ac:dyDescent="0.25">
      <c r="A11" s="89" t="s">
        <v>106</v>
      </c>
      <c r="B11" s="89" t="s">
        <v>617</v>
      </c>
      <c r="C11" s="89">
        <v>2716142.31</v>
      </c>
      <c r="D11" s="89" t="s">
        <v>664</v>
      </c>
    </row>
    <row r="12" spans="1:8" x14ac:dyDescent="0.25">
      <c r="A12" s="89" t="s">
        <v>106</v>
      </c>
      <c r="B12" s="89" t="s">
        <v>617</v>
      </c>
      <c r="C12" s="89">
        <v>561278.71999999997</v>
      </c>
      <c r="D12" s="89" t="s">
        <v>666</v>
      </c>
    </row>
    <row r="13" spans="1:8" x14ac:dyDescent="0.25">
      <c r="A13" s="89" t="s">
        <v>106</v>
      </c>
      <c r="B13" s="89" t="s">
        <v>617</v>
      </c>
      <c r="C13" s="89">
        <v>1760367.65</v>
      </c>
      <c r="D13" s="89" t="s">
        <v>664</v>
      </c>
    </row>
    <row r="14" spans="1:8" x14ac:dyDescent="0.25">
      <c r="A14" s="89" t="s">
        <v>106</v>
      </c>
      <c r="B14" s="89" t="s">
        <v>617</v>
      </c>
      <c r="C14" s="89">
        <v>1483126.94</v>
      </c>
      <c r="D14" s="89" t="s">
        <v>663</v>
      </c>
    </row>
    <row r="15" spans="1:8" x14ac:dyDescent="0.25">
      <c r="A15" s="89" t="s">
        <v>106</v>
      </c>
      <c r="B15" s="89" t="s">
        <v>617</v>
      </c>
      <c r="C15" s="89">
        <v>3029070.35</v>
      </c>
      <c r="D15" s="89" t="s">
        <v>666</v>
      </c>
    </row>
    <row r="16" spans="1:8" x14ac:dyDescent="0.25">
      <c r="A16" s="89" t="s">
        <v>106</v>
      </c>
      <c r="B16" s="89" t="s">
        <v>617</v>
      </c>
      <c r="C16" s="89">
        <v>295279.40000000002</v>
      </c>
      <c r="D16" s="89" t="s">
        <v>670</v>
      </c>
    </row>
    <row r="17" spans="1:4" x14ac:dyDescent="0.25">
      <c r="A17" s="89" t="s">
        <v>106</v>
      </c>
      <c r="B17" s="89" t="s">
        <v>617</v>
      </c>
      <c r="C17" s="89">
        <v>3147729</v>
      </c>
      <c r="D17" s="89" t="s">
        <v>664</v>
      </c>
    </row>
    <row r="18" spans="1:4" x14ac:dyDescent="0.25">
      <c r="A18" s="89" t="s">
        <v>106</v>
      </c>
      <c r="B18" s="89" t="s">
        <v>617</v>
      </c>
      <c r="C18" s="89">
        <v>1917478.19</v>
      </c>
      <c r="D18" s="89" t="s">
        <v>664</v>
      </c>
    </row>
    <row r="19" spans="1:4" x14ac:dyDescent="0.25">
      <c r="A19" s="89" t="s">
        <v>106</v>
      </c>
      <c r="B19" s="89" t="s">
        <v>617</v>
      </c>
      <c r="C19" s="89">
        <v>1308000</v>
      </c>
      <c r="D19" s="89" t="s">
        <v>664</v>
      </c>
    </row>
    <row r="20" spans="1:4" x14ac:dyDescent="0.25">
      <c r="A20" s="89" t="s">
        <v>106</v>
      </c>
      <c r="B20" s="89" t="s">
        <v>617</v>
      </c>
      <c r="C20" s="89">
        <v>1457029.1</v>
      </c>
      <c r="D20" s="89" t="s">
        <v>664</v>
      </c>
    </row>
    <row r="21" spans="1:4" x14ac:dyDescent="0.25">
      <c r="A21" s="89" t="s">
        <v>106</v>
      </c>
      <c r="B21" s="89" t="s">
        <v>617</v>
      </c>
      <c r="C21" s="89">
        <v>1024553</v>
      </c>
      <c r="D21" s="89" t="s">
        <v>664</v>
      </c>
    </row>
    <row r="22" spans="1:4" x14ac:dyDescent="0.25">
      <c r="A22" s="89" t="s">
        <v>106</v>
      </c>
      <c r="B22" s="89" t="s">
        <v>617</v>
      </c>
      <c r="C22" s="89">
        <v>958000</v>
      </c>
      <c r="D22" s="89" t="s">
        <v>664</v>
      </c>
    </row>
    <row r="23" spans="1:4" x14ac:dyDescent="0.25">
      <c r="A23" s="89" t="s">
        <v>106</v>
      </c>
      <c r="B23" s="89" t="s">
        <v>617</v>
      </c>
      <c r="C23" s="89">
        <v>285960</v>
      </c>
      <c r="D23" s="89" t="s">
        <v>670</v>
      </c>
    </row>
    <row r="24" spans="1:4" x14ac:dyDescent="0.25">
      <c r="A24" s="89" t="s">
        <v>106</v>
      </c>
      <c r="B24" s="89" t="s">
        <v>617</v>
      </c>
      <c r="C24" s="89">
        <v>1314764</v>
      </c>
      <c r="D24" s="89" t="s">
        <v>663</v>
      </c>
    </row>
    <row r="25" spans="1:4" x14ac:dyDescent="0.25">
      <c r="A25" s="89" t="s">
        <v>106</v>
      </c>
      <c r="B25" s="89" t="s">
        <v>617</v>
      </c>
      <c r="C25" s="89">
        <v>3870825</v>
      </c>
      <c r="D25" s="89" t="s">
        <v>664</v>
      </c>
    </row>
    <row r="26" spans="1:4" x14ac:dyDescent="0.25">
      <c r="A26" s="89" t="s">
        <v>106</v>
      </c>
      <c r="B26" s="89" t="s">
        <v>617</v>
      </c>
      <c r="C26" s="89">
        <v>794920.64</v>
      </c>
      <c r="D26" s="89" t="s">
        <v>666</v>
      </c>
    </row>
    <row r="27" spans="1:4" x14ac:dyDescent="0.25">
      <c r="A27" s="89" t="s">
        <v>106</v>
      </c>
      <c r="B27" s="89" t="s">
        <v>617</v>
      </c>
      <c r="C27" s="89">
        <v>2287774</v>
      </c>
      <c r="D27" s="89" t="s">
        <v>664</v>
      </c>
    </row>
    <row r="28" spans="1:4" x14ac:dyDescent="0.25">
      <c r="A28" s="89" t="s">
        <v>106</v>
      </c>
      <c r="B28" s="89" t="s">
        <v>617</v>
      </c>
      <c r="C28" s="89">
        <v>585170.61</v>
      </c>
      <c r="D28" s="89" t="s">
        <v>664</v>
      </c>
    </row>
    <row r="29" spans="1:4" x14ac:dyDescent="0.25">
      <c r="A29" s="89" t="s">
        <v>106</v>
      </c>
      <c r="B29" s="89" t="s">
        <v>617</v>
      </c>
      <c r="C29" s="89">
        <v>10313213.619999999</v>
      </c>
      <c r="D29" s="89" t="s">
        <v>664</v>
      </c>
    </row>
    <row r="30" spans="1:4" x14ac:dyDescent="0.25">
      <c r="A30" s="89" t="s">
        <v>106</v>
      </c>
      <c r="B30" s="89" t="s">
        <v>617</v>
      </c>
      <c r="C30" s="89">
        <v>1525300.14</v>
      </c>
      <c r="D30" s="89" t="s">
        <v>664</v>
      </c>
    </row>
    <row r="31" spans="1:4" x14ac:dyDescent="0.25">
      <c r="A31" s="89" t="s">
        <v>106</v>
      </c>
      <c r="B31" s="89" t="s">
        <v>617</v>
      </c>
      <c r="C31" s="89">
        <v>584020</v>
      </c>
      <c r="D31" s="89" t="s">
        <v>666</v>
      </c>
    </row>
    <row r="32" spans="1:4" x14ac:dyDescent="0.25">
      <c r="A32" s="89" t="s">
        <v>106</v>
      </c>
      <c r="B32" s="89" t="s">
        <v>617</v>
      </c>
      <c r="C32" s="89">
        <v>370328</v>
      </c>
      <c r="D32" s="89" t="s">
        <v>663</v>
      </c>
    </row>
    <row r="33" spans="1:4" x14ac:dyDescent="0.25">
      <c r="A33" s="89" t="s">
        <v>106</v>
      </c>
      <c r="B33" s="89" t="s">
        <v>617</v>
      </c>
      <c r="C33" s="89">
        <v>840730</v>
      </c>
      <c r="D33" s="89" t="s">
        <v>664</v>
      </c>
    </row>
    <row r="34" spans="1:4" x14ac:dyDescent="0.25">
      <c r="A34" s="89" t="s">
        <v>106</v>
      </c>
      <c r="B34" s="89" t="s">
        <v>617</v>
      </c>
      <c r="C34" s="89">
        <v>320397.64</v>
      </c>
      <c r="D34" s="89" t="s">
        <v>664</v>
      </c>
    </row>
    <row r="35" spans="1:4" x14ac:dyDescent="0.25">
      <c r="A35" s="89" t="s">
        <v>106</v>
      </c>
      <c r="B35" s="89" t="s">
        <v>617</v>
      </c>
      <c r="C35" s="89">
        <v>122134.77</v>
      </c>
      <c r="D35" s="89" t="s">
        <v>666</v>
      </c>
    </row>
    <row r="36" spans="1:4" x14ac:dyDescent="0.25">
      <c r="A36" s="89" t="s">
        <v>106</v>
      </c>
      <c r="B36" s="89" t="s">
        <v>617</v>
      </c>
      <c r="C36" s="89">
        <v>759933.58</v>
      </c>
      <c r="D36" s="89" t="s">
        <v>664</v>
      </c>
    </row>
    <row r="37" spans="1:4" x14ac:dyDescent="0.25">
      <c r="A37" s="89" t="s">
        <v>232</v>
      </c>
      <c r="B37" s="89" t="s">
        <v>615</v>
      </c>
      <c r="C37" s="89">
        <v>404178</v>
      </c>
      <c r="D37" s="89" t="s">
        <v>663</v>
      </c>
    </row>
    <row r="38" spans="1:4" x14ac:dyDescent="0.25">
      <c r="A38" s="89" t="s">
        <v>232</v>
      </c>
      <c r="B38" s="89" t="s">
        <v>615</v>
      </c>
      <c r="C38" s="89">
        <v>792016</v>
      </c>
      <c r="D38" s="89" t="s">
        <v>663</v>
      </c>
    </row>
    <row r="39" spans="1:4" x14ac:dyDescent="0.25">
      <c r="A39" s="89" t="s">
        <v>232</v>
      </c>
      <c r="B39" s="89" t="s">
        <v>615</v>
      </c>
      <c r="C39" s="89">
        <v>229417</v>
      </c>
      <c r="D39" s="89" t="s">
        <v>666</v>
      </c>
    </row>
    <row r="40" spans="1:4" x14ac:dyDescent="0.25">
      <c r="A40" s="89" t="s">
        <v>232</v>
      </c>
      <c r="B40" s="89" t="s">
        <v>615</v>
      </c>
      <c r="C40" s="89">
        <v>86838</v>
      </c>
      <c r="D40" s="89" t="s">
        <v>666</v>
      </c>
    </row>
    <row r="41" spans="1:4" x14ac:dyDescent="0.25">
      <c r="A41" s="89" t="s">
        <v>232</v>
      </c>
      <c r="B41" s="89" t="s">
        <v>615</v>
      </c>
      <c r="C41" s="89">
        <v>254978</v>
      </c>
      <c r="D41" s="89" t="s">
        <v>663</v>
      </c>
    </row>
    <row r="42" spans="1:4" x14ac:dyDescent="0.25">
      <c r="A42" s="89" t="s">
        <v>232</v>
      </c>
      <c r="B42" s="89" t="s">
        <v>615</v>
      </c>
      <c r="C42" s="89">
        <v>502985</v>
      </c>
      <c r="D42" s="89" t="s">
        <v>663</v>
      </c>
    </row>
    <row r="43" spans="1:4" x14ac:dyDescent="0.25">
      <c r="A43" s="89" t="s">
        <v>232</v>
      </c>
      <c r="B43" s="89" t="s">
        <v>615</v>
      </c>
      <c r="C43" s="89">
        <v>110574</v>
      </c>
      <c r="D43" s="89" t="s">
        <v>666</v>
      </c>
    </row>
    <row r="44" spans="1:4" x14ac:dyDescent="0.25">
      <c r="A44" s="89" t="s">
        <v>232</v>
      </c>
      <c r="B44" s="89" t="s">
        <v>615</v>
      </c>
      <c r="C44" s="89">
        <v>466762</v>
      </c>
      <c r="D44" s="89" t="s">
        <v>666</v>
      </c>
    </row>
    <row r="45" spans="1:4" x14ac:dyDescent="0.25">
      <c r="A45" s="89" t="s">
        <v>232</v>
      </c>
      <c r="B45" s="89" t="s">
        <v>615</v>
      </c>
      <c r="C45" s="89">
        <v>1055214</v>
      </c>
      <c r="D45" s="89" t="s">
        <v>663</v>
      </c>
    </row>
    <row r="46" spans="1:4" x14ac:dyDescent="0.25">
      <c r="A46" s="89" t="s">
        <v>232</v>
      </c>
      <c r="B46" s="89" t="s">
        <v>615</v>
      </c>
      <c r="C46" s="89">
        <v>689681</v>
      </c>
      <c r="D46" s="89" t="s">
        <v>663</v>
      </c>
    </row>
    <row r="47" spans="1:4" x14ac:dyDescent="0.25">
      <c r="A47" s="89" t="s">
        <v>232</v>
      </c>
      <c r="B47" s="89" t="s">
        <v>615</v>
      </c>
      <c r="C47" s="89">
        <v>222698</v>
      </c>
      <c r="D47" s="89" t="s">
        <v>666</v>
      </c>
    </row>
    <row r="48" spans="1:4" x14ac:dyDescent="0.25">
      <c r="A48" s="89" t="s">
        <v>232</v>
      </c>
      <c r="B48" s="89" t="s">
        <v>615</v>
      </c>
      <c r="C48" s="89">
        <v>335554</v>
      </c>
      <c r="D48" s="89" t="s">
        <v>663</v>
      </c>
    </row>
    <row r="49" spans="1:4" x14ac:dyDescent="0.25">
      <c r="A49" s="89" t="s">
        <v>232</v>
      </c>
      <c r="B49" s="89" t="s">
        <v>615</v>
      </c>
      <c r="C49" s="89">
        <v>343027</v>
      </c>
      <c r="D49" s="89" t="s">
        <v>663</v>
      </c>
    </row>
    <row r="50" spans="1:4" x14ac:dyDescent="0.25">
      <c r="A50" s="89" t="s">
        <v>232</v>
      </c>
      <c r="B50" s="89" t="s">
        <v>615</v>
      </c>
      <c r="C50" s="89">
        <v>132167.64000000001</v>
      </c>
      <c r="D50" s="89" t="s">
        <v>666</v>
      </c>
    </row>
    <row r="51" spans="1:4" x14ac:dyDescent="0.25">
      <c r="A51" s="89" t="s">
        <v>232</v>
      </c>
      <c r="B51" s="89" t="s">
        <v>615</v>
      </c>
      <c r="C51" s="89">
        <v>492117</v>
      </c>
      <c r="D51" s="89" t="s">
        <v>663</v>
      </c>
    </row>
    <row r="52" spans="1:4" x14ac:dyDescent="0.25">
      <c r="A52" s="89" t="s">
        <v>231</v>
      </c>
      <c r="B52" s="89" t="s">
        <v>615</v>
      </c>
      <c r="C52" s="89">
        <v>1001421</v>
      </c>
      <c r="D52" s="89" t="s">
        <v>663</v>
      </c>
    </row>
    <row r="53" spans="1:4" x14ac:dyDescent="0.25">
      <c r="A53" s="89" t="s">
        <v>231</v>
      </c>
      <c r="B53" s="89" t="s">
        <v>615</v>
      </c>
      <c r="C53" s="89">
        <v>1900000</v>
      </c>
      <c r="D53" s="89" t="s">
        <v>663</v>
      </c>
    </row>
    <row r="54" spans="1:4" x14ac:dyDescent="0.25">
      <c r="A54" s="89" t="s">
        <v>231</v>
      </c>
      <c r="B54" s="89" t="s">
        <v>615</v>
      </c>
      <c r="C54" s="89">
        <v>1561251</v>
      </c>
      <c r="D54" s="89" t="s">
        <v>663</v>
      </c>
    </row>
    <row r="55" spans="1:4" x14ac:dyDescent="0.25">
      <c r="A55" s="89" t="s">
        <v>231</v>
      </c>
      <c r="B55" s="89" t="s">
        <v>615</v>
      </c>
      <c r="C55" s="89">
        <v>2082616.93</v>
      </c>
      <c r="D55" s="89" t="s">
        <v>663</v>
      </c>
    </row>
    <row r="56" spans="1:4" x14ac:dyDescent="0.25">
      <c r="A56" s="89" t="s">
        <v>231</v>
      </c>
      <c r="B56" s="89" t="s">
        <v>615</v>
      </c>
      <c r="C56" s="89">
        <v>400000</v>
      </c>
      <c r="D56" s="89" t="s">
        <v>663</v>
      </c>
    </row>
    <row r="57" spans="1:4" x14ac:dyDescent="0.25">
      <c r="A57" s="89" t="s">
        <v>62</v>
      </c>
      <c r="B57" s="89" t="s">
        <v>617</v>
      </c>
      <c r="C57" s="89">
        <v>3591130</v>
      </c>
      <c r="D57" s="89" t="s">
        <v>666</v>
      </c>
    </row>
    <row r="58" spans="1:4" x14ac:dyDescent="0.25">
      <c r="A58" s="89" t="s">
        <v>62</v>
      </c>
      <c r="B58" s="89" t="s">
        <v>617</v>
      </c>
      <c r="C58" s="89">
        <v>7346690</v>
      </c>
      <c r="D58" s="89" t="s">
        <v>663</v>
      </c>
    </row>
    <row r="59" spans="1:4" x14ac:dyDescent="0.25">
      <c r="A59" s="89" t="s">
        <v>62</v>
      </c>
      <c r="B59" s="89" t="s">
        <v>617</v>
      </c>
      <c r="C59" s="89">
        <v>849163</v>
      </c>
      <c r="D59" s="89" t="s">
        <v>664</v>
      </c>
    </row>
    <row r="60" spans="1:4" x14ac:dyDescent="0.25">
      <c r="A60" s="89" t="s">
        <v>62</v>
      </c>
      <c r="B60" s="89" t="s">
        <v>617</v>
      </c>
      <c r="C60" s="89">
        <v>10330717</v>
      </c>
      <c r="D60" s="89" t="s">
        <v>664</v>
      </c>
    </row>
    <row r="61" spans="1:4" x14ac:dyDescent="0.25">
      <c r="A61" s="89" t="s">
        <v>62</v>
      </c>
      <c r="B61" s="89" t="s">
        <v>617</v>
      </c>
      <c r="C61" s="89">
        <v>1445958</v>
      </c>
      <c r="D61" s="89" t="s">
        <v>664</v>
      </c>
    </row>
    <row r="62" spans="1:4" x14ac:dyDescent="0.25">
      <c r="A62" s="89" t="s">
        <v>62</v>
      </c>
      <c r="B62" s="89" t="s">
        <v>617</v>
      </c>
      <c r="C62" s="89">
        <v>7630216</v>
      </c>
      <c r="D62" s="89" t="s">
        <v>663</v>
      </c>
    </row>
    <row r="63" spans="1:4" x14ac:dyDescent="0.25">
      <c r="A63" s="89" t="s">
        <v>62</v>
      </c>
      <c r="B63" s="89" t="s">
        <v>617</v>
      </c>
      <c r="C63" s="89">
        <v>1552404</v>
      </c>
      <c r="D63" s="89" t="s">
        <v>664</v>
      </c>
    </row>
    <row r="64" spans="1:4" x14ac:dyDescent="0.25">
      <c r="A64" s="89" t="s">
        <v>62</v>
      </c>
      <c r="B64" s="89" t="s">
        <v>617</v>
      </c>
      <c r="C64" s="89">
        <v>929653</v>
      </c>
      <c r="D64" s="89" t="s">
        <v>664</v>
      </c>
    </row>
    <row r="65" spans="1:4" x14ac:dyDescent="0.25">
      <c r="A65" s="89" t="s">
        <v>62</v>
      </c>
      <c r="B65" s="89" t="s">
        <v>617</v>
      </c>
      <c r="C65" s="89">
        <v>381461.45</v>
      </c>
      <c r="D65" s="89" t="s">
        <v>664</v>
      </c>
    </row>
    <row r="66" spans="1:4" x14ac:dyDescent="0.25">
      <c r="A66" s="89" t="s">
        <v>62</v>
      </c>
      <c r="B66" s="89" t="s">
        <v>617</v>
      </c>
      <c r="C66" s="89">
        <v>1260337.53</v>
      </c>
      <c r="D66" s="89" t="s">
        <v>666</v>
      </c>
    </row>
    <row r="67" spans="1:4" x14ac:dyDescent="0.25">
      <c r="A67" s="89" t="s">
        <v>62</v>
      </c>
      <c r="B67" s="89" t="s">
        <v>617</v>
      </c>
      <c r="C67" s="89">
        <v>1972798.39</v>
      </c>
      <c r="D67" s="89" t="s">
        <v>664</v>
      </c>
    </row>
    <row r="68" spans="1:4" x14ac:dyDescent="0.25">
      <c r="A68" s="89" t="s">
        <v>62</v>
      </c>
      <c r="B68" s="89" t="s">
        <v>617</v>
      </c>
      <c r="C68" s="89">
        <v>154154</v>
      </c>
      <c r="D68" s="89" t="s">
        <v>666</v>
      </c>
    </row>
    <row r="69" spans="1:4" x14ac:dyDescent="0.25">
      <c r="A69" s="89" t="s">
        <v>62</v>
      </c>
      <c r="B69" s="89" t="s">
        <v>617</v>
      </c>
      <c r="C69" s="89">
        <v>628763</v>
      </c>
      <c r="D69" s="89" t="s">
        <v>666</v>
      </c>
    </row>
    <row r="70" spans="1:4" x14ac:dyDescent="0.25">
      <c r="A70" s="89" t="s">
        <v>62</v>
      </c>
      <c r="B70" s="89" t="s">
        <v>617</v>
      </c>
      <c r="C70" s="89">
        <v>976281</v>
      </c>
      <c r="D70" s="89" t="s">
        <v>664</v>
      </c>
    </row>
    <row r="71" spans="1:4" x14ac:dyDescent="0.25">
      <c r="A71" s="89" t="s">
        <v>62</v>
      </c>
      <c r="B71" s="89" t="s">
        <v>617</v>
      </c>
      <c r="C71" s="89">
        <v>386646</v>
      </c>
      <c r="D71" s="89" t="s">
        <v>663</v>
      </c>
    </row>
    <row r="72" spans="1:4" x14ac:dyDescent="0.25">
      <c r="A72" s="89" t="s">
        <v>62</v>
      </c>
      <c r="B72" s="89" t="s">
        <v>617</v>
      </c>
      <c r="C72" s="89">
        <v>5722982</v>
      </c>
      <c r="D72" s="89" t="s">
        <v>663</v>
      </c>
    </row>
    <row r="73" spans="1:4" x14ac:dyDescent="0.25">
      <c r="A73" s="89" t="s">
        <v>62</v>
      </c>
      <c r="B73" s="89" t="s">
        <v>617</v>
      </c>
      <c r="C73" s="89">
        <v>853335.37</v>
      </c>
      <c r="D73" s="89" t="s">
        <v>664</v>
      </c>
    </row>
    <row r="74" spans="1:4" x14ac:dyDescent="0.25">
      <c r="A74" s="89" t="s">
        <v>62</v>
      </c>
      <c r="B74" s="89" t="s">
        <v>617</v>
      </c>
      <c r="C74" s="89">
        <v>6312280.1500000004</v>
      </c>
      <c r="D74" s="89" t="s">
        <v>664</v>
      </c>
    </row>
    <row r="75" spans="1:4" x14ac:dyDescent="0.25">
      <c r="A75" s="89" t="s">
        <v>62</v>
      </c>
      <c r="B75" s="89" t="s">
        <v>617</v>
      </c>
      <c r="C75" s="89">
        <v>3000000</v>
      </c>
      <c r="D75" s="89" t="s">
        <v>663</v>
      </c>
    </row>
    <row r="76" spans="1:4" x14ac:dyDescent="0.25">
      <c r="A76" s="89" t="s">
        <v>62</v>
      </c>
      <c r="B76" s="89" t="s">
        <v>617</v>
      </c>
      <c r="C76" s="89">
        <v>9065309.7400000002</v>
      </c>
      <c r="D76" s="89" t="s">
        <v>663</v>
      </c>
    </row>
    <row r="77" spans="1:4" x14ac:dyDescent="0.25">
      <c r="A77" s="89" t="s">
        <v>62</v>
      </c>
      <c r="B77" s="89" t="s">
        <v>617</v>
      </c>
      <c r="C77" s="89">
        <v>1385654.88</v>
      </c>
      <c r="D77" s="89" t="s">
        <v>664</v>
      </c>
    </row>
    <row r="78" spans="1:4" x14ac:dyDescent="0.25">
      <c r="A78" s="89" t="s">
        <v>62</v>
      </c>
      <c r="B78" s="89" t="s">
        <v>617</v>
      </c>
      <c r="C78" s="89">
        <v>947461.79</v>
      </c>
      <c r="D78" s="89" t="s">
        <v>666</v>
      </c>
    </row>
    <row r="79" spans="1:4" x14ac:dyDescent="0.25">
      <c r="A79" s="89" t="s">
        <v>62</v>
      </c>
      <c r="B79" s="89" t="s">
        <v>617</v>
      </c>
      <c r="C79" s="89">
        <v>621600.55000000005</v>
      </c>
      <c r="D79" s="89" t="s">
        <v>666</v>
      </c>
    </row>
    <row r="80" spans="1:4" x14ac:dyDescent="0.25">
      <c r="A80" s="89" t="s">
        <v>62</v>
      </c>
      <c r="B80" s="89" t="s">
        <v>617</v>
      </c>
      <c r="C80" s="89">
        <v>4826101.3</v>
      </c>
      <c r="D80" s="89" t="s">
        <v>663</v>
      </c>
    </row>
    <row r="81" spans="1:4" x14ac:dyDescent="0.25">
      <c r="A81" s="89" t="s">
        <v>62</v>
      </c>
      <c r="B81" s="89" t="s">
        <v>617</v>
      </c>
      <c r="C81" s="89">
        <v>8259215.1200000001</v>
      </c>
      <c r="D81" s="89" t="s">
        <v>663</v>
      </c>
    </row>
    <row r="82" spans="1:4" x14ac:dyDescent="0.25">
      <c r="A82" s="89" t="s">
        <v>62</v>
      </c>
      <c r="B82" s="89" t="s">
        <v>617</v>
      </c>
      <c r="C82" s="89">
        <v>3560278.1</v>
      </c>
      <c r="D82" s="89" t="s">
        <v>664</v>
      </c>
    </row>
    <row r="83" spans="1:4" x14ac:dyDescent="0.25">
      <c r="A83" s="89" t="s">
        <v>62</v>
      </c>
      <c r="B83" s="89" t="s">
        <v>617</v>
      </c>
      <c r="C83" s="89">
        <v>3027820.39</v>
      </c>
      <c r="D83" s="89" t="s">
        <v>664</v>
      </c>
    </row>
    <row r="84" spans="1:4" x14ac:dyDescent="0.25">
      <c r="A84" s="89" t="s">
        <v>62</v>
      </c>
      <c r="B84" s="89" t="s">
        <v>617</v>
      </c>
      <c r="C84" s="89">
        <v>2228593</v>
      </c>
      <c r="D84" s="89" t="s">
        <v>664</v>
      </c>
    </row>
    <row r="85" spans="1:4" x14ac:dyDescent="0.25">
      <c r="A85" s="89" t="s">
        <v>62</v>
      </c>
      <c r="B85" s="89" t="s">
        <v>617</v>
      </c>
      <c r="C85" s="89">
        <v>904000</v>
      </c>
      <c r="D85" s="89" t="s">
        <v>664</v>
      </c>
    </row>
    <row r="86" spans="1:4" x14ac:dyDescent="0.25">
      <c r="A86" s="89" t="s">
        <v>62</v>
      </c>
      <c r="B86" s="89" t="s">
        <v>617</v>
      </c>
      <c r="C86" s="89">
        <v>8761434.8499999996</v>
      </c>
      <c r="D86" s="89" t="s">
        <v>664</v>
      </c>
    </row>
    <row r="87" spans="1:4" x14ac:dyDescent="0.25">
      <c r="A87" s="89" t="s">
        <v>62</v>
      </c>
      <c r="B87" s="89" t="s">
        <v>617</v>
      </c>
      <c r="C87" s="89">
        <v>195928.14</v>
      </c>
      <c r="D87" s="89" t="s">
        <v>666</v>
      </c>
    </row>
    <row r="88" spans="1:4" x14ac:dyDescent="0.25">
      <c r="A88" s="89" t="s">
        <v>62</v>
      </c>
      <c r="B88" s="89" t="s">
        <v>617</v>
      </c>
      <c r="C88" s="89">
        <v>2742631</v>
      </c>
      <c r="D88" s="89" t="s">
        <v>663</v>
      </c>
    </row>
    <row r="89" spans="1:4" x14ac:dyDescent="0.25">
      <c r="A89" s="89" t="s">
        <v>62</v>
      </c>
      <c r="B89" s="89" t="s">
        <v>617</v>
      </c>
      <c r="C89" s="89">
        <v>5252101</v>
      </c>
      <c r="D89" s="89" t="s">
        <v>664</v>
      </c>
    </row>
    <row r="90" spans="1:4" x14ac:dyDescent="0.25">
      <c r="A90" s="89" t="s">
        <v>62</v>
      </c>
      <c r="B90" s="89" t="s">
        <v>617</v>
      </c>
      <c r="C90" s="89">
        <v>4083660</v>
      </c>
      <c r="D90" s="89" t="s">
        <v>663</v>
      </c>
    </row>
    <row r="91" spans="1:4" x14ac:dyDescent="0.25">
      <c r="A91" s="89" t="s">
        <v>62</v>
      </c>
      <c r="B91" s="89" t="s">
        <v>617</v>
      </c>
      <c r="C91" s="89">
        <v>307623</v>
      </c>
      <c r="D91" s="89" t="s">
        <v>666</v>
      </c>
    </row>
    <row r="92" spans="1:4" x14ac:dyDescent="0.25">
      <c r="A92" s="89" t="s">
        <v>62</v>
      </c>
      <c r="B92" s="89" t="s">
        <v>617</v>
      </c>
      <c r="C92" s="89">
        <v>359169</v>
      </c>
      <c r="D92" s="89" t="s">
        <v>663</v>
      </c>
    </row>
    <row r="93" spans="1:4" x14ac:dyDescent="0.25">
      <c r="A93" s="89" t="s">
        <v>62</v>
      </c>
      <c r="B93" s="89" t="s">
        <v>617</v>
      </c>
      <c r="C93" s="89">
        <v>5878548</v>
      </c>
      <c r="D93" s="89" t="s">
        <v>664</v>
      </c>
    </row>
    <row r="94" spans="1:4" x14ac:dyDescent="0.25">
      <c r="A94" s="89" t="s">
        <v>62</v>
      </c>
      <c r="B94" s="89" t="s">
        <v>617</v>
      </c>
      <c r="C94" s="89">
        <v>1518973.74</v>
      </c>
      <c r="D94" s="89" t="s">
        <v>663</v>
      </c>
    </row>
    <row r="95" spans="1:4" x14ac:dyDescent="0.25">
      <c r="A95" s="89" t="s">
        <v>62</v>
      </c>
      <c r="B95" s="89" t="s">
        <v>617</v>
      </c>
      <c r="C95" s="89">
        <v>404962</v>
      </c>
      <c r="D95" s="89" t="s">
        <v>664</v>
      </c>
    </row>
    <row r="96" spans="1:4" x14ac:dyDescent="0.25">
      <c r="A96" s="89" t="s">
        <v>62</v>
      </c>
      <c r="B96" s="89" t="s">
        <v>617</v>
      </c>
      <c r="C96" s="89">
        <v>1704225</v>
      </c>
      <c r="D96" s="89" t="s">
        <v>664</v>
      </c>
    </row>
    <row r="97" spans="1:4" x14ac:dyDescent="0.25">
      <c r="A97" s="89" t="s">
        <v>62</v>
      </c>
      <c r="B97" s="89" t="s">
        <v>617</v>
      </c>
      <c r="C97" s="89">
        <v>700598.84</v>
      </c>
      <c r="D97" s="89" t="s">
        <v>666</v>
      </c>
    </row>
    <row r="98" spans="1:4" x14ac:dyDescent="0.25">
      <c r="A98" s="89" t="s">
        <v>62</v>
      </c>
      <c r="B98" s="89" t="s">
        <v>617</v>
      </c>
      <c r="C98" s="89">
        <v>781679.21</v>
      </c>
      <c r="D98" s="89" t="s">
        <v>666</v>
      </c>
    </row>
    <row r="99" spans="1:4" x14ac:dyDescent="0.25">
      <c r="A99" s="89" t="s">
        <v>62</v>
      </c>
      <c r="B99" s="89" t="s">
        <v>617</v>
      </c>
      <c r="C99" s="89">
        <v>3003423.26</v>
      </c>
      <c r="D99" s="89" t="s">
        <v>664</v>
      </c>
    </row>
    <row r="100" spans="1:4" x14ac:dyDescent="0.25">
      <c r="A100" s="89" t="s">
        <v>62</v>
      </c>
      <c r="B100" s="89" t="s">
        <v>617</v>
      </c>
      <c r="C100" s="89">
        <v>1129412.81</v>
      </c>
      <c r="D100" s="89" t="s">
        <v>666</v>
      </c>
    </row>
    <row r="101" spans="1:4" x14ac:dyDescent="0.25">
      <c r="A101" s="89" t="s">
        <v>62</v>
      </c>
      <c r="B101" s="89" t="s">
        <v>617</v>
      </c>
      <c r="C101" s="89">
        <v>3787437.03</v>
      </c>
      <c r="D101" s="89" t="s">
        <v>663</v>
      </c>
    </row>
    <row r="102" spans="1:4" x14ac:dyDescent="0.25">
      <c r="A102" s="89" t="s">
        <v>62</v>
      </c>
      <c r="B102" s="89" t="s">
        <v>617</v>
      </c>
      <c r="C102" s="89">
        <v>3496729.6</v>
      </c>
      <c r="D102" s="89" t="s">
        <v>663</v>
      </c>
    </row>
    <row r="103" spans="1:4" x14ac:dyDescent="0.25">
      <c r="A103" s="89" t="s">
        <v>62</v>
      </c>
      <c r="B103" s="89" t="s">
        <v>617</v>
      </c>
      <c r="C103" s="89">
        <v>290187</v>
      </c>
      <c r="D103" s="89" t="s">
        <v>664</v>
      </c>
    </row>
    <row r="104" spans="1:4" x14ac:dyDescent="0.25">
      <c r="A104" s="89" t="s">
        <v>228</v>
      </c>
      <c r="B104" s="89" t="s">
        <v>615</v>
      </c>
      <c r="C104" s="89">
        <v>2265950</v>
      </c>
      <c r="D104" s="89" t="s">
        <v>663</v>
      </c>
    </row>
    <row r="105" spans="1:4" x14ac:dyDescent="0.25">
      <c r="A105" s="89" t="s">
        <v>228</v>
      </c>
      <c r="B105" s="89" t="s">
        <v>615</v>
      </c>
      <c r="C105" s="89">
        <v>2643131</v>
      </c>
      <c r="D105" s="89" t="s">
        <v>663</v>
      </c>
    </row>
    <row r="106" spans="1:4" x14ac:dyDescent="0.25">
      <c r="A106" s="89" t="s">
        <v>228</v>
      </c>
      <c r="B106" s="89" t="s">
        <v>615</v>
      </c>
      <c r="C106" s="89">
        <v>1736419</v>
      </c>
      <c r="D106" s="89" t="s">
        <v>663</v>
      </c>
    </row>
    <row r="107" spans="1:4" x14ac:dyDescent="0.25">
      <c r="A107" s="89" t="s">
        <v>228</v>
      </c>
      <c r="B107" s="89" t="s">
        <v>615</v>
      </c>
      <c r="C107" s="89">
        <v>243086</v>
      </c>
      <c r="D107" s="89" t="s">
        <v>663</v>
      </c>
    </row>
    <row r="108" spans="1:4" x14ac:dyDescent="0.25">
      <c r="A108" s="89" t="s">
        <v>228</v>
      </c>
      <c r="B108" s="89" t="s">
        <v>615</v>
      </c>
      <c r="C108" s="89">
        <v>956813</v>
      </c>
      <c r="D108" s="89" t="s">
        <v>663</v>
      </c>
    </row>
    <row r="109" spans="1:4" x14ac:dyDescent="0.25">
      <c r="A109" s="89" t="s">
        <v>228</v>
      </c>
      <c r="B109" s="89" t="s">
        <v>615</v>
      </c>
      <c r="C109" s="89">
        <v>683476</v>
      </c>
      <c r="D109" s="89" t="s">
        <v>663</v>
      </c>
    </row>
    <row r="110" spans="1:4" x14ac:dyDescent="0.25">
      <c r="A110" s="89" t="s">
        <v>228</v>
      </c>
      <c r="B110" s="89" t="s">
        <v>615</v>
      </c>
      <c r="C110" s="89">
        <v>1815574</v>
      </c>
      <c r="D110" s="89" t="s">
        <v>663</v>
      </c>
    </row>
    <row r="111" spans="1:4" x14ac:dyDescent="0.25">
      <c r="A111" s="89" t="s">
        <v>228</v>
      </c>
      <c r="B111" s="89" t="s">
        <v>615</v>
      </c>
      <c r="C111" s="89">
        <v>945264</v>
      </c>
      <c r="D111" s="89" t="s">
        <v>663</v>
      </c>
    </row>
    <row r="112" spans="1:4" x14ac:dyDescent="0.25">
      <c r="A112" s="89" t="s">
        <v>228</v>
      </c>
      <c r="B112" s="89" t="s">
        <v>615</v>
      </c>
      <c r="C112" s="89">
        <v>626556</v>
      </c>
      <c r="D112" s="89" t="s">
        <v>663</v>
      </c>
    </row>
    <row r="113" spans="1:4" x14ac:dyDescent="0.25">
      <c r="A113" s="89" t="s">
        <v>228</v>
      </c>
      <c r="B113" s="89" t="s">
        <v>615</v>
      </c>
      <c r="C113" s="89">
        <v>-149967.43</v>
      </c>
      <c r="D113" s="89" t="s">
        <v>663</v>
      </c>
    </row>
    <row r="114" spans="1:4" x14ac:dyDescent="0.25">
      <c r="A114" s="89" t="s">
        <v>228</v>
      </c>
      <c r="B114" s="89" t="s">
        <v>615</v>
      </c>
      <c r="C114" s="89">
        <v>1249609</v>
      </c>
      <c r="D114" s="89" t="s">
        <v>663</v>
      </c>
    </row>
    <row r="115" spans="1:4" x14ac:dyDescent="0.25">
      <c r="A115" s="89" t="s">
        <v>228</v>
      </c>
      <c r="B115" s="89" t="s">
        <v>615</v>
      </c>
      <c r="C115" s="89">
        <v>1813184</v>
      </c>
      <c r="D115" s="89" t="s">
        <v>663</v>
      </c>
    </row>
    <row r="116" spans="1:4" x14ac:dyDescent="0.25">
      <c r="A116" s="89" t="s">
        <v>228</v>
      </c>
      <c r="B116" s="89" t="s">
        <v>615</v>
      </c>
      <c r="C116" s="89">
        <v>1500000</v>
      </c>
      <c r="D116" s="89" t="s">
        <v>663</v>
      </c>
    </row>
    <row r="117" spans="1:4" x14ac:dyDescent="0.25">
      <c r="A117" s="89" t="s">
        <v>228</v>
      </c>
      <c r="B117" s="89" t="s">
        <v>615</v>
      </c>
      <c r="C117" s="89">
        <v>1286834</v>
      </c>
      <c r="D117" s="89" t="s">
        <v>663</v>
      </c>
    </row>
    <row r="118" spans="1:4" x14ac:dyDescent="0.25">
      <c r="A118" s="89" t="s">
        <v>228</v>
      </c>
      <c r="B118" s="89" t="s">
        <v>615</v>
      </c>
      <c r="C118" s="89">
        <v>2326349</v>
      </c>
      <c r="D118" s="89" t="s">
        <v>663</v>
      </c>
    </row>
    <row r="119" spans="1:4" x14ac:dyDescent="0.25">
      <c r="A119" s="89" t="s">
        <v>228</v>
      </c>
      <c r="B119" s="89" t="s">
        <v>615</v>
      </c>
      <c r="C119" s="89">
        <v>1308409</v>
      </c>
      <c r="D119" s="89" t="s">
        <v>663</v>
      </c>
    </row>
    <row r="120" spans="1:4" x14ac:dyDescent="0.25">
      <c r="A120" s="89" t="s">
        <v>228</v>
      </c>
      <c r="B120" s="89" t="s">
        <v>615</v>
      </c>
      <c r="C120" s="89">
        <v>1731821</v>
      </c>
      <c r="D120" s="89" t="s">
        <v>663</v>
      </c>
    </row>
    <row r="121" spans="1:4" x14ac:dyDescent="0.25">
      <c r="A121" s="89" t="s">
        <v>228</v>
      </c>
      <c r="B121" s="89" t="s">
        <v>615</v>
      </c>
      <c r="C121" s="89">
        <v>-183989.29</v>
      </c>
      <c r="D121" s="89" t="s">
        <v>663</v>
      </c>
    </row>
    <row r="122" spans="1:4" x14ac:dyDescent="0.25">
      <c r="A122" s="89" t="s">
        <v>228</v>
      </c>
      <c r="B122" s="89" t="s">
        <v>615</v>
      </c>
      <c r="C122" s="89">
        <v>2237983</v>
      </c>
      <c r="D122" s="89" t="s">
        <v>663</v>
      </c>
    </row>
    <row r="123" spans="1:4" x14ac:dyDescent="0.25">
      <c r="A123" s="89" t="s">
        <v>228</v>
      </c>
      <c r="B123" s="89" t="s">
        <v>615</v>
      </c>
      <c r="C123" s="89">
        <v>-50000</v>
      </c>
      <c r="D123" s="89" t="s">
        <v>663</v>
      </c>
    </row>
    <row r="124" spans="1:4" x14ac:dyDescent="0.25">
      <c r="A124" s="89" t="s">
        <v>228</v>
      </c>
      <c r="B124" s="89" t="s">
        <v>615</v>
      </c>
      <c r="C124" s="89">
        <v>-14303.37</v>
      </c>
      <c r="D124" s="89" t="s">
        <v>663</v>
      </c>
    </row>
    <row r="125" spans="1:4" x14ac:dyDescent="0.25">
      <c r="A125" s="89" t="s">
        <v>61</v>
      </c>
      <c r="B125" s="89" t="s">
        <v>616</v>
      </c>
      <c r="C125" s="89">
        <v>505701</v>
      </c>
      <c r="D125" s="89" t="s">
        <v>663</v>
      </c>
    </row>
    <row r="126" spans="1:4" x14ac:dyDescent="0.25">
      <c r="A126" s="89" t="s">
        <v>61</v>
      </c>
      <c r="B126" s="89" t="s">
        <v>616</v>
      </c>
      <c r="C126" s="89">
        <v>840484</v>
      </c>
      <c r="D126" s="89" t="s">
        <v>663</v>
      </c>
    </row>
    <row r="127" spans="1:4" x14ac:dyDescent="0.25">
      <c r="A127" s="89" t="s">
        <v>61</v>
      </c>
      <c r="B127" s="89" t="s">
        <v>616</v>
      </c>
      <c r="C127" s="89">
        <v>1255941</v>
      </c>
      <c r="D127" s="89" t="s">
        <v>663</v>
      </c>
    </row>
    <row r="128" spans="1:4" x14ac:dyDescent="0.25">
      <c r="A128" s="89" t="s">
        <v>61</v>
      </c>
      <c r="B128" s="89" t="s">
        <v>616</v>
      </c>
      <c r="C128" s="89">
        <v>482318</v>
      </c>
      <c r="D128" s="89" t="s">
        <v>663</v>
      </c>
    </row>
    <row r="129" spans="1:4" x14ac:dyDescent="0.25">
      <c r="A129" s="89" t="s">
        <v>61</v>
      </c>
      <c r="B129" s="89" t="s">
        <v>616</v>
      </c>
      <c r="C129" s="89">
        <v>192723.24</v>
      </c>
      <c r="D129" s="89" t="s">
        <v>663</v>
      </c>
    </row>
    <row r="130" spans="1:4" x14ac:dyDescent="0.25">
      <c r="A130" s="89" t="s">
        <v>61</v>
      </c>
      <c r="B130" s="89" t="s">
        <v>616</v>
      </c>
      <c r="C130" s="89">
        <v>531033.5</v>
      </c>
      <c r="D130" s="89" t="s">
        <v>666</v>
      </c>
    </row>
    <row r="131" spans="1:4" x14ac:dyDescent="0.25">
      <c r="A131" s="89" t="s">
        <v>61</v>
      </c>
      <c r="B131" s="89" t="s">
        <v>616</v>
      </c>
      <c r="C131" s="89">
        <v>512375.31</v>
      </c>
      <c r="D131" s="89" t="s">
        <v>666</v>
      </c>
    </row>
    <row r="132" spans="1:4" x14ac:dyDescent="0.25">
      <c r="A132" s="89" t="s">
        <v>61</v>
      </c>
      <c r="B132" s="89" t="s">
        <v>616</v>
      </c>
      <c r="C132" s="89">
        <v>1766424.32</v>
      </c>
      <c r="D132" s="89" t="s">
        <v>663</v>
      </c>
    </row>
    <row r="133" spans="1:4" x14ac:dyDescent="0.25">
      <c r="A133" s="89" t="s">
        <v>61</v>
      </c>
      <c r="B133" s="89" t="s">
        <v>616</v>
      </c>
      <c r="C133" s="89">
        <v>36675.65</v>
      </c>
      <c r="D133" s="89" t="s">
        <v>663</v>
      </c>
    </row>
    <row r="134" spans="1:4" x14ac:dyDescent="0.25">
      <c r="A134" s="89" t="s">
        <v>61</v>
      </c>
      <c r="B134" s="89" t="s">
        <v>616</v>
      </c>
      <c r="C134" s="89">
        <v>475244.02</v>
      </c>
      <c r="D134" s="89" t="s">
        <v>666</v>
      </c>
    </row>
    <row r="135" spans="1:4" x14ac:dyDescent="0.25">
      <c r="A135" s="89" t="s">
        <v>61</v>
      </c>
      <c r="B135" s="89" t="s">
        <v>616</v>
      </c>
      <c r="C135" s="89">
        <v>369049</v>
      </c>
      <c r="D135" s="89" t="s">
        <v>666</v>
      </c>
    </row>
    <row r="136" spans="1:4" x14ac:dyDescent="0.25">
      <c r="A136" s="89" t="s">
        <v>61</v>
      </c>
      <c r="B136" s="89" t="s">
        <v>616</v>
      </c>
      <c r="C136" s="89">
        <v>30731.75</v>
      </c>
      <c r="D136" s="89" t="s">
        <v>663</v>
      </c>
    </row>
    <row r="137" spans="1:4" x14ac:dyDescent="0.25">
      <c r="A137" s="89" t="s">
        <v>61</v>
      </c>
      <c r="B137" s="89" t="s">
        <v>616</v>
      </c>
      <c r="C137" s="89">
        <v>820208.74</v>
      </c>
      <c r="D137" s="89" t="s">
        <v>665</v>
      </c>
    </row>
    <row r="138" spans="1:4" x14ac:dyDescent="0.25">
      <c r="A138" s="89" t="s">
        <v>61</v>
      </c>
      <c r="B138" s="89" t="s">
        <v>616</v>
      </c>
      <c r="C138" s="89">
        <v>866144</v>
      </c>
      <c r="D138" s="89" t="s">
        <v>663</v>
      </c>
    </row>
    <row r="139" spans="1:4" x14ac:dyDescent="0.25">
      <c r="A139" s="89" t="s">
        <v>61</v>
      </c>
      <c r="B139" s="89" t="s">
        <v>616</v>
      </c>
      <c r="C139" s="89">
        <v>105242.68</v>
      </c>
      <c r="D139" s="89" t="s">
        <v>666</v>
      </c>
    </row>
    <row r="140" spans="1:4" x14ac:dyDescent="0.25">
      <c r="A140" s="89" t="s">
        <v>61</v>
      </c>
      <c r="B140" s="89" t="s">
        <v>616</v>
      </c>
      <c r="C140" s="89">
        <v>250225.63</v>
      </c>
      <c r="D140" s="89" t="s">
        <v>666</v>
      </c>
    </row>
    <row r="141" spans="1:4" x14ac:dyDescent="0.25">
      <c r="A141" s="89" t="s">
        <v>61</v>
      </c>
      <c r="B141" s="89" t="s">
        <v>616</v>
      </c>
      <c r="C141" s="89">
        <v>51306.239999999998</v>
      </c>
      <c r="D141" s="89" t="s">
        <v>666</v>
      </c>
    </row>
    <row r="142" spans="1:4" x14ac:dyDescent="0.25">
      <c r="A142" s="89" t="s">
        <v>61</v>
      </c>
      <c r="B142" s="89" t="s">
        <v>616</v>
      </c>
      <c r="C142" s="89">
        <v>434508.67</v>
      </c>
      <c r="D142" s="89" t="s">
        <v>666</v>
      </c>
    </row>
    <row r="143" spans="1:4" x14ac:dyDescent="0.25">
      <c r="A143" s="89" t="s">
        <v>61</v>
      </c>
      <c r="B143" s="89" t="s">
        <v>616</v>
      </c>
      <c r="C143" s="89">
        <v>1338138</v>
      </c>
      <c r="D143" s="89" t="s">
        <v>663</v>
      </c>
    </row>
    <row r="144" spans="1:4" x14ac:dyDescent="0.25">
      <c r="A144" s="89" t="s">
        <v>61</v>
      </c>
      <c r="B144" s="89" t="s">
        <v>616</v>
      </c>
      <c r="C144" s="89">
        <v>849927</v>
      </c>
      <c r="D144" s="89" t="s">
        <v>663</v>
      </c>
    </row>
    <row r="145" spans="1:4" x14ac:dyDescent="0.25">
      <c r="A145" s="89" t="s">
        <v>61</v>
      </c>
      <c r="B145" s="89" t="s">
        <v>616</v>
      </c>
      <c r="C145" s="89">
        <v>1623014</v>
      </c>
      <c r="D145" s="89" t="s">
        <v>666</v>
      </c>
    </row>
    <row r="146" spans="1:4" x14ac:dyDescent="0.25">
      <c r="A146" s="89" t="s">
        <v>61</v>
      </c>
      <c r="B146" s="89" t="s">
        <v>616</v>
      </c>
      <c r="C146" s="89">
        <v>837568</v>
      </c>
      <c r="D146" s="89" t="s">
        <v>663</v>
      </c>
    </row>
    <row r="147" spans="1:4" x14ac:dyDescent="0.25">
      <c r="A147" s="89" t="s">
        <v>61</v>
      </c>
      <c r="B147" s="89" t="s">
        <v>616</v>
      </c>
      <c r="C147" s="89">
        <v>190632</v>
      </c>
      <c r="D147" s="89" t="s">
        <v>666</v>
      </c>
    </row>
    <row r="148" spans="1:4" x14ac:dyDescent="0.25">
      <c r="A148" s="89" t="s">
        <v>61</v>
      </c>
      <c r="B148" s="89" t="s">
        <v>616</v>
      </c>
      <c r="C148" s="89">
        <v>774103.76</v>
      </c>
      <c r="D148" s="89" t="s">
        <v>663</v>
      </c>
    </row>
    <row r="149" spans="1:4" x14ac:dyDescent="0.25">
      <c r="A149" s="89" t="s">
        <v>61</v>
      </c>
      <c r="B149" s="89" t="s">
        <v>616</v>
      </c>
      <c r="C149" s="89">
        <v>658645.34</v>
      </c>
      <c r="D149" s="89" t="s">
        <v>663</v>
      </c>
    </row>
    <row r="150" spans="1:4" x14ac:dyDescent="0.25">
      <c r="A150" s="89" t="s">
        <v>61</v>
      </c>
      <c r="B150" s="89" t="s">
        <v>616</v>
      </c>
      <c r="C150" s="89">
        <v>167114.66</v>
      </c>
      <c r="D150" s="89" t="s">
        <v>666</v>
      </c>
    </row>
    <row r="151" spans="1:4" x14ac:dyDescent="0.25">
      <c r="A151" s="89" t="s">
        <v>61</v>
      </c>
      <c r="B151" s="89" t="s">
        <v>616</v>
      </c>
      <c r="C151" s="89">
        <v>255403.46</v>
      </c>
      <c r="D151" s="89" t="s">
        <v>665</v>
      </c>
    </row>
    <row r="152" spans="1:4" x14ac:dyDescent="0.25">
      <c r="A152" s="89" t="s">
        <v>61</v>
      </c>
      <c r="B152" s="89" t="s">
        <v>616</v>
      </c>
      <c r="C152" s="89">
        <v>50000</v>
      </c>
      <c r="D152" s="89" t="s">
        <v>666</v>
      </c>
    </row>
    <row r="153" spans="1:4" x14ac:dyDescent="0.25">
      <c r="A153" s="89" t="s">
        <v>61</v>
      </c>
      <c r="B153" s="89" t="s">
        <v>616</v>
      </c>
      <c r="C153" s="89">
        <v>1884192.63</v>
      </c>
      <c r="D153" s="89" t="s">
        <v>663</v>
      </c>
    </row>
    <row r="154" spans="1:4" x14ac:dyDescent="0.25">
      <c r="A154" s="89" t="s">
        <v>61</v>
      </c>
      <c r="B154" s="89" t="s">
        <v>616</v>
      </c>
      <c r="C154" s="89">
        <v>260119</v>
      </c>
      <c r="D154" s="89" t="s">
        <v>663</v>
      </c>
    </row>
    <row r="155" spans="1:4" x14ac:dyDescent="0.25">
      <c r="A155" s="89" t="s">
        <v>61</v>
      </c>
      <c r="B155" s="89" t="s">
        <v>616</v>
      </c>
      <c r="C155" s="89">
        <v>152310</v>
      </c>
      <c r="D155" s="89" t="s">
        <v>663</v>
      </c>
    </row>
    <row r="156" spans="1:4" x14ac:dyDescent="0.25">
      <c r="A156" s="89" t="s">
        <v>61</v>
      </c>
      <c r="B156" s="89" t="s">
        <v>616</v>
      </c>
      <c r="C156" s="89">
        <v>750436</v>
      </c>
      <c r="D156" s="89" t="s">
        <v>663</v>
      </c>
    </row>
    <row r="157" spans="1:4" x14ac:dyDescent="0.25">
      <c r="A157" s="89" t="s">
        <v>61</v>
      </c>
      <c r="B157" s="89" t="s">
        <v>616</v>
      </c>
      <c r="C157" s="89">
        <v>1442445</v>
      </c>
      <c r="D157" s="89" t="s">
        <v>666</v>
      </c>
    </row>
    <row r="158" spans="1:4" x14ac:dyDescent="0.25">
      <c r="A158" s="89" t="s">
        <v>61</v>
      </c>
      <c r="B158" s="89" t="s">
        <v>616</v>
      </c>
      <c r="C158" s="89">
        <v>8087.21</v>
      </c>
      <c r="D158" s="89" t="s">
        <v>663</v>
      </c>
    </row>
    <row r="159" spans="1:4" x14ac:dyDescent="0.25">
      <c r="A159" s="89" t="s">
        <v>61</v>
      </c>
      <c r="B159" s="89" t="s">
        <v>616</v>
      </c>
      <c r="C159" s="89">
        <v>370149.22</v>
      </c>
      <c r="D159" s="89" t="s">
        <v>666</v>
      </c>
    </row>
    <row r="160" spans="1:4" x14ac:dyDescent="0.25">
      <c r="A160" s="89" t="s">
        <v>61</v>
      </c>
      <c r="B160" s="89" t="s">
        <v>616</v>
      </c>
      <c r="C160" s="89">
        <v>199853.22</v>
      </c>
      <c r="D160" s="89" t="s">
        <v>666</v>
      </c>
    </row>
    <row r="161" spans="1:4" x14ac:dyDescent="0.25">
      <c r="A161" s="89" t="s">
        <v>61</v>
      </c>
      <c r="B161" s="89" t="s">
        <v>616</v>
      </c>
      <c r="C161" s="89">
        <v>7125.3</v>
      </c>
      <c r="D161" s="89" t="s">
        <v>663</v>
      </c>
    </row>
    <row r="162" spans="1:4" x14ac:dyDescent="0.25">
      <c r="A162" s="89" t="s">
        <v>61</v>
      </c>
      <c r="B162" s="89" t="s">
        <v>616</v>
      </c>
      <c r="C162" s="89">
        <v>70083.27</v>
      </c>
      <c r="D162" s="89" t="s">
        <v>663</v>
      </c>
    </row>
    <row r="163" spans="1:4" x14ac:dyDescent="0.25">
      <c r="A163" s="89" t="s">
        <v>61</v>
      </c>
      <c r="B163" s="89" t="s">
        <v>616</v>
      </c>
      <c r="C163" s="89">
        <v>66577.63</v>
      </c>
      <c r="D163" s="89" t="s">
        <v>663</v>
      </c>
    </row>
    <row r="164" spans="1:4" x14ac:dyDescent="0.25">
      <c r="A164" s="89" t="s">
        <v>61</v>
      </c>
      <c r="B164" s="89" t="s">
        <v>616</v>
      </c>
      <c r="C164" s="89">
        <v>-924</v>
      </c>
      <c r="D164" s="89" t="s">
        <v>663</v>
      </c>
    </row>
    <row r="165" spans="1:4" x14ac:dyDescent="0.25">
      <c r="A165" s="89" t="s">
        <v>61</v>
      </c>
      <c r="B165" s="89" t="s">
        <v>616</v>
      </c>
      <c r="C165" s="89">
        <v>720050.46</v>
      </c>
      <c r="D165" s="89" t="s">
        <v>666</v>
      </c>
    </row>
    <row r="166" spans="1:4" x14ac:dyDescent="0.25">
      <c r="A166" s="89" t="s">
        <v>61</v>
      </c>
      <c r="B166" s="89" t="s">
        <v>616</v>
      </c>
      <c r="C166" s="89">
        <v>366491.06</v>
      </c>
      <c r="D166" s="89" t="s">
        <v>666</v>
      </c>
    </row>
    <row r="167" spans="1:4" x14ac:dyDescent="0.25">
      <c r="A167" s="89" t="s">
        <v>61</v>
      </c>
      <c r="B167" s="89" t="s">
        <v>616</v>
      </c>
      <c r="C167" s="89">
        <v>312186.01</v>
      </c>
      <c r="D167" s="89" t="s">
        <v>665</v>
      </c>
    </row>
    <row r="168" spans="1:4" x14ac:dyDescent="0.25">
      <c r="A168" s="89" t="s">
        <v>61</v>
      </c>
      <c r="B168" s="89" t="s">
        <v>616</v>
      </c>
      <c r="C168" s="89">
        <v>651264.82999999996</v>
      </c>
      <c r="D168" s="89" t="s">
        <v>666</v>
      </c>
    </row>
    <row r="169" spans="1:4" x14ac:dyDescent="0.25">
      <c r="A169" s="89" t="s">
        <v>61</v>
      </c>
      <c r="B169" s="89" t="s">
        <v>616</v>
      </c>
      <c r="C169" s="89">
        <v>7747.02</v>
      </c>
      <c r="D169" s="89" t="s">
        <v>663</v>
      </c>
    </row>
    <row r="170" spans="1:4" x14ac:dyDescent="0.25">
      <c r="A170" s="89" t="s">
        <v>61</v>
      </c>
      <c r="B170" s="89" t="s">
        <v>616</v>
      </c>
      <c r="C170" s="89">
        <v>925927.56</v>
      </c>
      <c r="D170" s="89" t="s">
        <v>663</v>
      </c>
    </row>
    <row r="171" spans="1:4" x14ac:dyDescent="0.25">
      <c r="A171" s="89" t="s">
        <v>224</v>
      </c>
      <c r="B171" s="89" t="s">
        <v>615</v>
      </c>
      <c r="C171" s="89">
        <v>2134259.13</v>
      </c>
      <c r="D171" s="89" t="s">
        <v>663</v>
      </c>
    </row>
    <row r="172" spans="1:4" x14ac:dyDescent="0.25">
      <c r="A172" s="89" t="s">
        <v>224</v>
      </c>
      <c r="B172" s="89" t="s">
        <v>615</v>
      </c>
      <c r="C172" s="89">
        <v>2223685</v>
      </c>
      <c r="D172" s="89" t="s">
        <v>663</v>
      </c>
    </row>
    <row r="173" spans="1:4" x14ac:dyDescent="0.25">
      <c r="A173" s="89" t="s">
        <v>224</v>
      </c>
      <c r="B173" s="89" t="s">
        <v>615</v>
      </c>
      <c r="C173" s="89">
        <v>965638</v>
      </c>
      <c r="D173" s="89" t="s">
        <v>663</v>
      </c>
    </row>
    <row r="174" spans="1:4" x14ac:dyDescent="0.25">
      <c r="A174" s="89" t="s">
        <v>224</v>
      </c>
      <c r="B174" s="89" t="s">
        <v>615</v>
      </c>
      <c r="C174" s="89">
        <v>1067197.6599999999</v>
      </c>
      <c r="D174" s="89" t="s">
        <v>666</v>
      </c>
    </row>
    <row r="175" spans="1:4" x14ac:dyDescent="0.25">
      <c r="A175" s="89" t="s">
        <v>224</v>
      </c>
      <c r="B175" s="89" t="s">
        <v>615</v>
      </c>
      <c r="C175" s="89">
        <v>211772.4</v>
      </c>
      <c r="D175" s="89" t="s">
        <v>666</v>
      </c>
    </row>
    <row r="176" spans="1:4" x14ac:dyDescent="0.25">
      <c r="A176" s="89" t="s">
        <v>224</v>
      </c>
      <c r="B176" s="89" t="s">
        <v>615</v>
      </c>
      <c r="C176" s="89">
        <v>792388.97</v>
      </c>
      <c r="D176" s="89" t="s">
        <v>664</v>
      </c>
    </row>
    <row r="177" spans="1:4" x14ac:dyDescent="0.25">
      <c r="A177" s="89" t="s">
        <v>224</v>
      </c>
      <c r="B177" s="89" t="s">
        <v>615</v>
      </c>
      <c r="C177" s="89">
        <v>1295872.3400000001</v>
      </c>
      <c r="D177" s="89" t="s">
        <v>664</v>
      </c>
    </row>
    <row r="178" spans="1:4" x14ac:dyDescent="0.25">
      <c r="A178" s="89" t="s">
        <v>224</v>
      </c>
      <c r="B178" s="89" t="s">
        <v>615</v>
      </c>
      <c r="C178" s="89">
        <v>326164.84000000003</v>
      </c>
      <c r="D178" s="89" t="s">
        <v>664</v>
      </c>
    </row>
    <row r="179" spans="1:4" x14ac:dyDescent="0.25">
      <c r="A179" s="89" t="s">
        <v>224</v>
      </c>
      <c r="B179" s="89" t="s">
        <v>615</v>
      </c>
      <c r="C179" s="89">
        <v>1101448.2</v>
      </c>
      <c r="D179" s="89" t="s">
        <v>666</v>
      </c>
    </row>
    <row r="180" spans="1:4" x14ac:dyDescent="0.25">
      <c r="A180" s="89" t="s">
        <v>224</v>
      </c>
      <c r="B180" s="89" t="s">
        <v>615</v>
      </c>
      <c r="C180" s="89">
        <v>50000</v>
      </c>
      <c r="D180" s="89" t="s">
        <v>666</v>
      </c>
    </row>
    <row r="181" spans="1:4" x14ac:dyDescent="0.25">
      <c r="A181" s="89" t="s">
        <v>224</v>
      </c>
      <c r="B181" s="89" t="s">
        <v>615</v>
      </c>
      <c r="C181" s="89">
        <v>628146.35</v>
      </c>
      <c r="D181" s="89" t="s">
        <v>666</v>
      </c>
    </row>
    <row r="182" spans="1:4" x14ac:dyDescent="0.25">
      <c r="A182" s="89" t="s">
        <v>224</v>
      </c>
      <c r="B182" s="89" t="s">
        <v>615</v>
      </c>
      <c r="C182" s="89">
        <v>1541695.14</v>
      </c>
      <c r="D182" s="89" t="s">
        <v>666</v>
      </c>
    </row>
    <row r="183" spans="1:4" x14ac:dyDescent="0.25">
      <c r="A183" s="89" t="s">
        <v>224</v>
      </c>
      <c r="B183" s="89" t="s">
        <v>615</v>
      </c>
      <c r="C183" s="89">
        <v>217054.48</v>
      </c>
      <c r="D183" s="89" t="s">
        <v>666</v>
      </c>
    </row>
    <row r="184" spans="1:4" x14ac:dyDescent="0.25">
      <c r="A184" s="89" t="s">
        <v>224</v>
      </c>
      <c r="B184" s="89" t="s">
        <v>615</v>
      </c>
      <c r="C184" s="89">
        <v>391758</v>
      </c>
      <c r="D184" s="89" t="s">
        <v>663</v>
      </c>
    </row>
    <row r="185" spans="1:4" x14ac:dyDescent="0.25">
      <c r="A185" s="89" t="s">
        <v>224</v>
      </c>
      <c r="B185" s="89" t="s">
        <v>615</v>
      </c>
      <c r="C185" s="89">
        <v>1776068</v>
      </c>
      <c r="D185" s="89" t="s">
        <v>666</v>
      </c>
    </row>
    <row r="186" spans="1:4" x14ac:dyDescent="0.25">
      <c r="A186" s="89" t="s">
        <v>224</v>
      </c>
      <c r="B186" s="89" t="s">
        <v>615</v>
      </c>
      <c r="C186" s="89">
        <v>692458.12</v>
      </c>
      <c r="D186" s="89" t="s">
        <v>666</v>
      </c>
    </row>
    <row r="187" spans="1:4" x14ac:dyDescent="0.25">
      <c r="A187" s="89" t="s">
        <v>224</v>
      </c>
      <c r="B187" s="89" t="s">
        <v>615</v>
      </c>
      <c r="C187" s="89">
        <v>50000</v>
      </c>
      <c r="D187" s="89" t="s">
        <v>666</v>
      </c>
    </row>
    <row r="188" spans="1:4" x14ac:dyDescent="0.25">
      <c r="A188" s="89" t="s">
        <v>224</v>
      </c>
      <c r="B188" s="89" t="s">
        <v>615</v>
      </c>
      <c r="C188" s="89">
        <v>315178</v>
      </c>
      <c r="D188" s="89" t="s">
        <v>663</v>
      </c>
    </row>
    <row r="189" spans="1:4" x14ac:dyDescent="0.25">
      <c r="A189" s="89" t="s">
        <v>224</v>
      </c>
      <c r="B189" s="89" t="s">
        <v>615</v>
      </c>
      <c r="C189" s="89">
        <v>420878</v>
      </c>
      <c r="D189" s="89" t="s">
        <v>663</v>
      </c>
    </row>
    <row r="190" spans="1:4" x14ac:dyDescent="0.25">
      <c r="A190" s="89" t="s">
        <v>224</v>
      </c>
      <c r="B190" s="89" t="s">
        <v>615</v>
      </c>
      <c r="C190" s="89">
        <v>850211</v>
      </c>
      <c r="D190" s="89" t="s">
        <v>663</v>
      </c>
    </row>
    <row r="191" spans="1:4" x14ac:dyDescent="0.25">
      <c r="A191" s="89" t="s">
        <v>224</v>
      </c>
      <c r="B191" s="89" t="s">
        <v>615</v>
      </c>
      <c r="C191" s="89">
        <v>1417417</v>
      </c>
      <c r="D191" s="89" t="s">
        <v>663</v>
      </c>
    </row>
    <row r="192" spans="1:4" x14ac:dyDescent="0.25">
      <c r="A192" s="89" t="s">
        <v>224</v>
      </c>
      <c r="B192" s="89" t="s">
        <v>615</v>
      </c>
      <c r="C192" s="89">
        <v>1896039.51</v>
      </c>
      <c r="D192" s="89" t="s">
        <v>666</v>
      </c>
    </row>
    <row r="193" spans="1:4" x14ac:dyDescent="0.25">
      <c r="A193" s="89" t="s">
        <v>224</v>
      </c>
      <c r="B193" s="89" t="s">
        <v>615</v>
      </c>
      <c r="C193" s="89">
        <v>937889.21</v>
      </c>
      <c r="D193" s="89" t="s">
        <v>666</v>
      </c>
    </row>
    <row r="194" spans="1:4" x14ac:dyDescent="0.25">
      <c r="A194" s="89" t="s">
        <v>224</v>
      </c>
      <c r="B194" s="89" t="s">
        <v>615</v>
      </c>
      <c r="C194" s="89">
        <v>601737.72</v>
      </c>
      <c r="D194" s="89" t="s">
        <v>664</v>
      </c>
    </row>
    <row r="195" spans="1:4" x14ac:dyDescent="0.25">
      <c r="A195" s="89" t="s">
        <v>224</v>
      </c>
      <c r="B195" s="89" t="s">
        <v>615</v>
      </c>
      <c r="C195" s="89">
        <v>1183726.1299999999</v>
      </c>
      <c r="D195" s="89" t="s">
        <v>666</v>
      </c>
    </row>
    <row r="196" spans="1:4" x14ac:dyDescent="0.25">
      <c r="A196" s="89" t="s">
        <v>224</v>
      </c>
      <c r="B196" s="89" t="s">
        <v>615</v>
      </c>
      <c r="C196" s="89">
        <v>667530.29</v>
      </c>
      <c r="D196" s="89" t="s">
        <v>664</v>
      </c>
    </row>
    <row r="197" spans="1:4" x14ac:dyDescent="0.25">
      <c r="A197" s="89" t="s">
        <v>224</v>
      </c>
      <c r="B197" s="89" t="s">
        <v>615</v>
      </c>
      <c r="C197" s="89">
        <v>1622525.57</v>
      </c>
      <c r="D197" s="89" t="s">
        <v>663</v>
      </c>
    </row>
    <row r="198" spans="1:4" x14ac:dyDescent="0.25">
      <c r="A198" s="89" t="s">
        <v>224</v>
      </c>
      <c r="B198" s="89" t="s">
        <v>615</v>
      </c>
      <c r="C198" s="89">
        <v>369397.29</v>
      </c>
      <c r="D198" s="89" t="s">
        <v>666</v>
      </c>
    </row>
    <row r="199" spans="1:4" x14ac:dyDescent="0.25">
      <c r="A199" s="89" t="s">
        <v>224</v>
      </c>
      <c r="B199" s="89" t="s">
        <v>615</v>
      </c>
      <c r="C199" s="89">
        <v>1334497.19</v>
      </c>
      <c r="D199" s="89" t="s">
        <v>666</v>
      </c>
    </row>
    <row r="200" spans="1:4" x14ac:dyDescent="0.25">
      <c r="A200" s="89" t="s">
        <v>224</v>
      </c>
      <c r="B200" s="89" t="s">
        <v>615</v>
      </c>
      <c r="C200" s="89">
        <v>2536781.35</v>
      </c>
      <c r="D200" s="89" t="s">
        <v>666</v>
      </c>
    </row>
    <row r="201" spans="1:4" x14ac:dyDescent="0.25">
      <c r="A201" s="89" t="s">
        <v>224</v>
      </c>
      <c r="B201" s="89" t="s">
        <v>615</v>
      </c>
      <c r="C201" s="89">
        <v>4629835.0599999996</v>
      </c>
      <c r="D201" s="89" t="s">
        <v>663</v>
      </c>
    </row>
    <row r="202" spans="1:4" x14ac:dyDescent="0.25">
      <c r="A202" s="89" t="s">
        <v>224</v>
      </c>
      <c r="B202" s="89" t="s">
        <v>615</v>
      </c>
      <c r="C202" s="89">
        <v>851181.07</v>
      </c>
      <c r="D202" s="89" t="s">
        <v>666</v>
      </c>
    </row>
    <row r="203" spans="1:4" x14ac:dyDescent="0.25">
      <c r="A203" s="89" t="s">
        <v>224</v>
      </c>
      <c r="B203" s="89" t="s">
        <v>615</v>
      </c>
      <c r="C203" s="89">
        <v>286241.36</v>
      </c>
      <c r="D203" s="89" t="s">
        <v>664</v>
      </c>
    </row>
    <row r="204" spans="1:4" x14ac:dyDescent="0.25">
      <c r="A204" s="89" t="s">
        <v>224</v>
      </c>
      <c r="B204" s="89" t="s">
        <v>615</v>
      </c>
      <c r="C204" s="89">
        <v>-11501.23</v>
      </c>
      <c r="D204" s="89" t="s">
        <v>663</v>
      </c>
    </row>
    <row r="205" spans="1:4" x14ac:dyDescent="0.25">
      <c r="A205" s="89" t="s">
        <v>224</v>
      </c>
      <c r="B205" s="89" t="s">
        <v>615</v>
      </c>
      <c r="C205" s="89">
        <v>659903.62230000005</v>
      </c>
      <c r="D205" s="89" t="s">
        <v>666</v>
      </c>
    </row>
    <row r="206" spans="1:4" x14ac:dyDescent="0.25">
      <c r="A206" s="89" t="s">
        <v>224</v>
      </c>
      <c r="B206" s="89" t="s">
        <v>615</v>
      </c>
      <c r="C206" s="89">
        <v>50000</v>
      </c>
      <c r="D206" s="89" t="s">
        <v>666</v>
      </c>
    </row>
    <row r="207" spans="1:4" x14ac:dyDescent="0.25">
      <c r="A207" s="89" t="s">
        <v>224</v>
      </c>
      <c r="B207" s="89" t="s">
        <v>615</v>
      </c>
      <c r="C207" s="89">
        <v>3064318.21</v>
      </c>
      <c r="D207" s="89" t="s">
        <v>666</v>
      </c>
    </row>
    <row r="208" spans="1:4" x14ac:dyDescent="0.25">
      <c r="A208" s="89" t="s">
        <v>105</v>
      </c>
      <c r="B208" s="89" t="s">
        <v>617</v>
      </c>
      <c r="C208" s="89">
        <v>398570</v>
      </c>
      <c r="D208" s="89" t="s">
        <v>666</v>
      </c>
    </row>
    <row r="209" spans="1:4" x14ac:dyDescent="0.25">
      <c r="A209" s="89" t="s">
        <v>105</v>
      </c>
      <c r="B209" s="89" t="s">
        <v>617</v>
      </c>
      <c r="C209" s="89">
        <v>1499557</v>
      </c>
      <c r="D209" s="89" t="s">
        <v>666</v>
      </c>
    </row>
    <row r="210" spans="1:4" x14ac:dyDescent="0.25">
      <c r="A210" s="89" t="s">
        <v>105</v>
      </c>
      <c r="B210" s="89" t="s">
        <v>617</v>
      </c>
      <c r="C210" s="89">
        <v>2144462</v>
      </c>
      <c r="D210" s="89" t="s">
        <v>666</v>
      </c>
    </row>
    <row r="211" spans="1:4" x14ac:dyDescent="0.25">
      <c r="A211" s="89" t="s">
        <v>105</v>
      </c>
      <c r="B211" s="89" t="s">
        <v>617</v>
      </c>
      <c r="C211" s="89">
        <v>2393374</v>
      </c>
      <c r="D211" s="89" t="s">
        <v>666</v>
      </c>
    </row>
    <row r="212" spans="1:4" x14ac:dyDescent="0.25">
      <c r="A212" s="89" t="s">
        <v>105</v>
      </c>
      <c r="B212" s="89" t="s">
        <v>617</v>
      </c>
      <c r="C212" s="89">
        <v>4536238</v>
      </c>
      <c r="D212" s="89" t="s">
        <v>666</v>
      </c>
    </row>
    <row r="213" spans="1:4" x14ac:dyDescent="0.25">
      <c r="A213" s="89" t="s">
        <v>105</v>
      </c>
      <c r="B213" s="89" t="s">
        <v>617</v>
      </c>
      <c r="C213" s="89">
        <v>355464</v>
      </c>
      <c r="D213" s="89" t="s">
        <v>666</v>
      </c>
    </row>
    <row r="214" spans="1:4" x14ac:dyDescent="0.25">
      <c r="A214" s="89" t="s">
        <v>105</v>
      </c>
      <c r="B214" s="89" t="s">
        <v>617</v>
      </c>
      <c r="C214" s="89">
        <v>497665.21</v>
      </c>
      <c r="D214" s="89" t="s">
        <v>666</v>
      </c>
    </row>
    <row r="215" spans="1:4" x14ac:dyDescent="0.25">
      <c r="A215" s="89" t="s">
        <v>105</v>
      </c>
      <c r="B215" s="89" t="s">
        <v>617</v>
      </c>
      <c r="C215" s="89">
        <v>10530.48</v>
      </c>
      <c r="D215" s="89" t="s">
        <v>666</v>
      </c>
    </row>
    <row r="216" spans="1:4" x14ac:dyDescent="0.25">
      <c r="A216" s="89" t="s">
        <v>105</v>
      </c>
      <c r="B216" s="89" t="s">
        <v>617</v>
      </c>
      <c r="C216" s="89">
        <v>2982961</v>
      </c>
      <c r="D216" s="89" t="s">
        <v>666</v>
      </c>
    </row>
    <row r="217" spans="1:4" x14ac:dyDescent="0.25">
      <c r="A217" s="89" t="s">
        <v>105</v>
      </c>
      <c r="B217" s="89" t="s">
        <v>617</v>
      </c>
      <c r="C217" s="89">
        <v>781734</v>
      </c>
      <c r="D217" s="89" t="s">
        <v>663</v>
      </c>
    </row>
    <row r="218" spans="1:4" x14ac:dyDescent="0.25">
      <c r="A218" s="89" t="s">
        <v>105</v>
      </c>
      <c r="B218" s="89" t="s">
        <v>617</v>
      </c>
      <c r="C218" s="89">
        <v>2233323</v>
      </c>
      <c r="D218" s="89" t="s">
        <v>666</v>
      </c>
    </row>
    <row r="219" spans="1:4" x14ac:dyDescent="0.25">
      <c r="A219" s="89" t="s">
        <v>105</v>
      </c>
      <c r="B219" s="89" t="s">
        <v>617</v>
      </c>
      <c r="C219" s="89">
        <v>2320010</v>
      </c>
      <c r="D219" s="89" t="s">
        <v>663</v>
      </c>
    </row>
    <row r="220" spans="1:4" x14ac:dyDescent="0.25">
      <c r="A220" s="89" t="s">
        <v>105</v>
      </c>
      <c r="B220" s="89" t="s">
        <v>617</v>
      </c>
      <c r="C220" s="89">
        <v>2527964</v>
      </c>
      <c r="D220" s="89" t="s">
        <v>663</v>
      </c>
    </row>
    <row r="221" spans="1:4" x14ac:dyDescent="0.25">
      <c r="A221" s="89" t="s">
        <v>105</v>
      </c>
      <c r="B221" s="89" t="s">
        <v>617</v>
      </c>
      <c r="C221" s="89">
        <v>4151049</v>
      </c>
      <c r="D221" s="89" t="s">
        <v>666</v>
      </c>
    </row>
    <row r="222" spans="1:4" x14ac:dyDescent="0.25">
      <c r="A222" s="89" t="s">
        <v>105</v>
      </c>
      <c r="B222" s="89" t="s">
        <v>617</v>
      </c>
      <c r="C222" s="89">
        <v>453201.9</v>
      </c>
      <c r="D222" s="89" t="s">
        <v>666</v>
      </c>
    </row>
    <row r="223" spans="1:4" x14ac:dyDescent="0.25">
      <c r="A223" s="89" t="s">
        <v>105</v>
      </c>
      <c r="B223" s="89" t="s">
        <v>617</v>
      </c>
      <c r="C223" s="89">
        <v>3850724</v>
      </c>
      <c r="D223" s="89" t="s">
        <v>663</v>
      </c>
    </row>
    <row r="224" spans="1:4" x14ac:dyDescent="0.25">
      <c r="A224" s="89" t="s">
        <v>105</v>
      </c>
      <c r="B224" s="89" t="s">
        <v>617</v>
      </c>
      <c r="C224" s="89">
        <v>4107720</v>
      </c>
      <c r="D224" s="89" t="s">
        <v>664</v>
      </c>
    </row>
    <row r="225" spans="1:4" x14ac:dyDescent="0.25">
      <c r="A225" s="89" t="s">
        <v>105</v>
      </c>
      <c r="B225" s="89" t="s">
        <v>617</v>
      </c>
      <c r="C225" s="89">
        <v>615711</v>
      </c>
      <c r="D225" s="89" t="s">
        <v>664</v>
      </c>
    </row>
    <row r="226" spans="1:4" x14ac:dyDescent="0.25">
      <c r="A226" s="89" t="s">
        <v>105</v>
      </c>
      <c r="B226" s="89" t="s">
        <v>617</v>
      </c>
      <c r="C226" s="89">
        <v>444567</v>
      </c>
      <c r="D226" s="89" t="s">
        <v>664</v>
      </c>
    </row>
    <row r="227" spans="1:4" x14ac:dyDescent="0.25">
      <c r="A227" s="89" t="s">
        <v>105</v>
      </c>
      <c r="B227" s="89" t="s">
        <v>617</v>
      </c>
      <c r="C227" s="89">
        <v>5235674.6100000003</v>
      </c>
      <c r="D227" s="89" t="s">
        <v>663</v>
      </c>
    </row>
    <row r="228" spans="1:4" x14ac:dyDescent="0.25">
      <c r="A228" s="89" t="s">
        <v>105</v>
      </c>
      <c r="B228" s="89" t="s">
        <v>617</v>
      </c>
      <c r="C228" s="89">
        <v>1075153</v>
      </c>
      <c r="D228" s="89" t="s">
        <v>663</v>
      </c>
    </row>
    <row r="229" spans="1:4" x14ac:dyDescent="0.25">
      <c r="A229" s="89" t="s">
        <v>105</v>
      </c>
      <c r="B229" s="89" t="s">
        <v>617</v>
      </c>
      <c r="C229" s="89">
        <v>429406</v>
      </c>
      <c r="D229" s="89" t="s">
        <v>666</v>
      </c>
    </row>
    <row r="230" spans="1:4" x14ac:dyDescent="0.25">
      <c r="A230" s="89" t="s">
        <v>105</v>
      </c>
      <c r="B230" s="89" t="s">
        <v>617</v>
      </c>
      <c r="C230" s="89">
        <v>1192362</v>
      </c>
      <c r="D230" s="89" t="s">
        <v>666</v>
      </c>
    </row>
    <row r="231" spans="1:4" x14ac:dyDescent="0.25">
      <c r="A231" s="89" t="s">
        <v>105</v>
      </c>
      <c r="B231" s="89" t="s">
        <v>617</v>
      </c>
      <c r="C231" s="89">
        <v>6151175</v>
      </c>
      <c r="D231" s="89" t="s">
        <v>663</v>
      </c>
    </row>
    <row r="232" spans="1:4" x14ac:dyDescent="0.25">
      <c r="A232" s="89" t="s">
        <v>105</v>
      </c>
      <c r="B232" s="89" t="s">
        <v>617</v>
      </c>
      <c r="C232" s="89">
        <v>43782</v>
      </c>
      <c r="D232" s="89" t="s">
        <v>664</v>
      </c>
    </row>
    <row r="233" spans="1:4" x14ac:dyDescent="0.25">
      <c r="A233" s="89" t="s">
        <v>105</v>
      </c>
      <c r="B233" s="89" t="s">
        <v>617</v>
      </c>
      <c r="C233" s="89">
        <v>1439204.8</v>
      </c>
      <c r="D233" s="89" t="s">
        <v>666</v>
      </c>
    </row>
    <row r="234" spans="1:4" x14ac:dyDescent="0.25">
      <c r="A234" s="89" t="s">
        <v>105</v>
      </c>
      <c r="B234" s="89" t="s">
        <v>617</v>
      </c>
      <c r="C234" s="89">
        <v>1048331</v>
      </c>
      <c r="D234" s="89" t="s">
        <v>664</v>
      </c>
    </row>
    <row r="235" spans="1:4" x14ac:dyDescent="0.25">
      <c r="A235" s="89" t="s">
        <v>105</v>
      </c>
      <c r="B235" s="89" t="s">
        <v>617</v>
      </c>
      <c r="C235" s="89">
        <v>2028519</v>
      </c>
      <c r="D235" s="89" t="s">
        <v>664</v>
      </c>
    </row>
    <row r="236" spans="1:4" x14ac:dyDescent="0.25">
      <c r="A236" s="89" t="s">
        <v>105</v>
      </c>
      <c r="B236" s="89" t="s">
        <v>617</v>
      </c>
      <c r="C236" s="89">
        <v>688820</v>
      </c>
      <c r="D236" s="89" t="s">
        <v>666</v>
      </c>
    </row>
    <row r="237" spans="1:4" x14ac:dyDescent="0.25">
      <c r="A237" s="89" t="s">
        <v>105</v>
      </c>
      <c r="B237" s="89" t="s">
        <v>617</v>
      </c>
      <c r="C237" s="89">
        <v>771400</v>
      </c>
      <c r="D237" s="89" t="s">
        <v>666</v>
      </c>
    </row>
    <row r="238" spans="1:4" x14ac:dyDescent="0.25">
      <c r="A238" s="89" t="s">
        <v>105</v>
      </c>
      <c r="B238" s="89" t="s">
        <v>617</v>
      </c>
      <c r="C238" s="89">
        <v>1389276</v>
      </c>
      <c r="D238" s="89" t="s">
        <v>666</v>
      </c>
    </row>
    <row r="239" spans="1:4" x14ac:dyDescent="0.25">
      <c r="A239" s="89" t="s">
        <v>105</v>
      </c>
      <c r="B239" s="89" t="s">
        <v>617</v>
      </c>
      <c r="C239" s="89">
        <v>3011111.2</v>
      </c>
      <c r="D239" s="89" t="s">
        <v>664</v>
      </c>
    </row>
    <row r="240" spans="1:4" x14ac:dyDescent="0.25">
      <c r="A240" s="89" t="s">
        <v>105</v>
      </c>
      <c r="B240" s="89" t="s">
        <v>617</v>
      </c>
      <c r="C240" s="89">
        <v>221459.61</v>
      </c>
      <c r="D240" s="89" t="s">
        <v>664</v>
      </c>
    </row>
    <row r="241" spans="1:4" x14ac:dyDescent="0.25">
      <c r="A241" s="89" t="s">
        <v>105</v>
      </c>
      <c r="B241" s="89" t="s">
        <v>617</v>
      </c>
      <c r="C241" s="89">
        <v>2177448</v>
      </c>
      <c r="D241" s="89" t="s">
        <v>666</v>
      </c>
    </row>
    <row r="242" spans="1:4" x14ac:dyDescent="0.25">
      <c r="A242" s="89" t="s">
        <v>105</v>
      </c>
      <c r="B242" s="89" t="s">
        <v>617</v>
      </c>
      <c r="C242" s="89">
        <v>1454003</v>
      </c>
      <c r="D242" s="89" t="s">
        <v>664</v>
      </c>
    </row>
    <row r="243" spans="1:4" x14ac:dyDescent="0.25">
      <c r="A243" s="89" t="s">
        <v>105</v>
      </c>
      <c r="B243" s="89" t="s">
        <v>617</v>
      </c>
      <c r="C243" s="89">
        <v>321529</v>
      </c>
      <c r="D243" s="89" t="s">
        <v>664</v>
      </c>
    </row>
    <row r="244" spans="1:4" x14ac:dyDescent="0.25">
      <c r="A244" s="89" t="s">
        <v>105</v>
      </c>
      <c r="B244" s="89" t="s">
        <v>617</v>
      </c>
      <c r="C244" s="89">
        <v>3587228</v>
      </c>
      <c r="D244" s="89" t="s">
        <v>663</v>
      </c>
    </row>
    <row r="245" spans="1:4" x14ac:dyDescent="0.25">
      <c r="A245" s="89" t="s">
        <v>105</v>
      </c>
      <c r="B245" s="89" t="s">
        <v>617</v>
      </c>
      <c r="C245" s="89">
        <v>2557270</v>
      </c>
      <c r="D245" s="89" t="s">
        <v>666</v>
      </c>
    </row>
    <row r="246" spans="1:4" x14ac:dyDescent="0.25">
      <c r="A246" s="89" t="s">
        <v>105</v>
      </c>
      <c r="B246" s="89" t="s">
        <v>617</v>
      </c>
      <c r="C246" s="89">
        <v>197693</v>
      </c>
      <c r="D246" s="89" t="s">
        <v>663</v>
      </c>
    </row>
    <row r="247" spans="1:4" x14ac:dyDescent="0.25">
      <c r="A247" s="89" t="s">
        <v>105</v>
      </c>
      <c r="B247" s="89" t="s">
        <v>617</v>
      </c>
      <c r="C247" s="89">
        <v>1020167</v>
      </c>
      <c r="D247" s="89" t="s">
        <v>663</v>
      </c>
    </row>
    <row r="248" spans="1:4" x14ac:dyDescent="0.25">
      <c r="A248" s="89" t="s">
        <v>105</v>
      </c>
      <c r="B248" s="89" t="s">
        <v>617</v>
      </c>
      <c r="C248" s="89">
        <v>5464258</v>
      </c>
      <c r="D248" s="89" t="s">
        <v>663</v>
      </c>
    </row>
    <row r="249" spans="1:4" x14ac:dyDescent="0.25">
      <c r="A249" s="89" t="s">
        <v>105</v>
      </c>
      <c r="B249" s="89" t="s">
        <v>617</v>
      </c>
      <c r="C249" s="89">
        <v>2668747.36</v>
      </c>
      <c r="D249" s="89" t="s">
        <v>666</v>
      </c>
    </row>
    <row r="250" spans="1:4" x14ac:dyDescent="0.25">
      <c r="A250" s="89" t="s">
        <v>105</v>
      </c>
      <c r="B250" s="89" t="s">
        <v>617</v>
      </c>
      <c r="C250" s="89">
        <v>290289.53000000003</v>
      </c>
      <c r="D250" s="89" t="s">
        <v>666</v>
      </c>
    </row>
    <row r="251" spans="1:4" x14ac:dyDescent="0.25">
      <c r="A251" s="89" t="s">
        <v>105</v>
      </c>
      <c r="B251" s="89" t="s">
        <v>617</v>
      </c>
      <c r="C251" s="89">
        <v>100000</v>
      </c>
      <c r="D251" s="89" t="s">
        <v>666</v>
      </c>
    </row>
    <row r="252" spans="1:4" x14ac:dyDescent="0.25">
      <c r="A252" s="89" t="s">
        <v>105</v>
      </c>
      <c r="B252" s="89" t="s">
        <v>617</v>
      </c>
      <c r="C252" s="89">
        <v>3903496.65</v>
      </c>
      <c r="D252" s="89" t="s">
        <v>663</v>
      </c>
    </row>
    <row r="253" spans="1:4" x14ac:dyDescent="0.25">
      <c r="A253" s="89" t="s">
        <v>105</v>
      </c>
      <c r="B253" s="89" t="s">
        <v>617</v>
      </c>
      <c r="C253" s="89">
        <v>77204</v>
      </c>
      <c r="D253" s="89" t="s">
        <v>666</v>
      </c>
    </row>
    <row r="254" spans="1:4" x14ac:dyDescent="0.25">
      <c r="A254" s="89" t="s">
        <v>105</v>
      </c>
      <c r="B254" s="89" t="s">
        <v>617</v>
      </c>
      <c r="C254" s="89">
        <v>4004796</v>
      </c>
      <c r="D254" s="89" t="s">
        <v>666</v>
      </c>
    </row>
    <row r="255" spans="1:4" x14ac:dyDescent="0.25">
      <c r="A255" s="89" t="s">
        <v>105</v>
      </c>
      <c r="B255" s="89" t="s">
        <v>617</v>
      </c>
      <c r="C255" s="89">
        <v>100000</v>
      </c>
      <c r="D255" s="89" t="s">
        <v>663</v>
      </c>
    </row>
    <row r="256" spans="1:4" x14ac:dyDescent="0.25">
      <c r="A256" s="89" t="s">
        <v>105</v>
      </c>
      <c r="B256" s="89" t="s">
        <v>617</v>
      </c>
      <c r="C256" s="89">
        <v>830514</v>
      </c>
      <c r="D256" s="89" t="s">
        <v>666</v>
      </c>
    </row>
    <row r="257" spans="1:4" x14ac:dyDescent="0.25">
      <c r="A257" s="89" t="s">
        <v>105</v>
      </c>
      <c r="B257" s="89" t="s">
        <v>617</v>
      </c>
      <c r="C257" s="89">
        <v>1457840</v>
      </c>
      <c r="D257" s="89" t="s">
        <v>666</v>
      </c>
    </row>
    <row r="258" spans="1:4" x14ac:dyDescent="0.25">
      <c r="A258" s="89" t="s">
        <v>105</v>
      </c>
      <c r="B258" s="89" t="s">
        <v>617</v>
      </c>
      <c r="C258" s="89">
        <v>2596695</v>
      </c>
      <c r="D258" s="89" t="s">
        <v>666</v>
      </c>
    </row>
    <row r="259" spans="1:4" x14ac:dyDescent="0.25">
      <c r="A259" s="89" t="s">
        <v>105</v>
      </c>
      <c r="B259" s="89" t="s">
        <v>617</v>
      </c>
      <c r="C259" s="89">
        <v>2783257</v>
      </c>
      <c r="D259" s="89" t="s">
        <v>666</v>
      </c>
    </row>
    <row r="260" spans="1:4" x14ac:dyDescent="0.25">
      <c r="A260" s="89" t="s">
        <v>105</v>
      </c>
      <c r="B260" s="89" t="s">
        <v>617</v>
      </c>
      <c r="C260" s="89">
        <v>742593</v>
      </c>
      <c r="D260" s="89" t="s">
        <v>666</v>
      </c>
    </row>
    <row r="261" spans="1:4" x14ac:dyDescent="0.25">
      <c r="A261" s="89" t="s">
        <v>105</v>
      </c>
      <c r="B261" s="89" t="s">
        <v>617</v>
      </c>
      <c r="C261" s="89">
        <v>2258823</v>
      </c>
      <c r="D261" s="89" t="s">
        <v>666</v>
      </c>
    </row>
    <row r="262" spans="1:4" x14ac:dyDescent="0.25">
      <c r="A262" s="89" t="s">
        <v>105</v>
      </c>
      <c r="B262" s="89" t="s">
        <v>617</v>
      </c>
      <c r="C262" s="89">
        <v>2557406</v>
      </c>
      <c r="D262" s="89" t="s">
        <v>663</v>
      </c>
    </row>
    <row r="263" spans="1:4" x14ac:dyDescent="0.25">
      <c r="A263" s="89" t="s">
        <v>105</v>
      </c>
      <c r="B263" s="89" t="s">
        <v>617</v>
      </c>
      <c r="C263" s="89">
        <v>1114556</v>
      </c>
      <c r="D263" s="89" t="s">
        <v>664</v>
      </c>
    </row>
    <row r="264" spans="1:4" x14ac:dyDescent="0.25">
      <c r="A264" s="89" t="s">
        <v>105</v>
      </c>
      <c r="B264" s="89" t="s">
        <v>617</v>
      </c>
      <c r="C264" s="89">
        <v>585361</v>
      </c>
      <c r="D264" s="89" t="s">
        <v>666</v>
      </c>
    </row>
    <row r="265" spans="1:4" x14ac:dyDescent="0.25">
      <c r="A265" s="89" t="s">
        <v>105</v>
      </c>
      <c r="B265" s="89" t="s">
        <v>617</v>
      </c>
      <c r="C265" s="89">
        <v>718376</v>
      </c>
      <c r="D265" s="89" t="s">
        <v>666</v>
      </c>
    </row>
    <row r="266" spans="1:4" x14ac:dyDescent="0.25">
      <c r="A266" s="89" t="s">
        <v>105</v>
      </c>
      <c r="B266" s="89" t="s">
        <v>617</v>
      </c>
      <c r="C266" s="89">
        <v>4422690</v>
      </c>
      <c r="D266" s="89" t="s">
        <v>663</v>
      </c>
    </row>
    <row r="267" spans="1:4" x14ac:dyDescent="0.25">
      <c r="A267" s="89" t="s">
        <v>105</v>
      </c>
      <c r="B267" s="89" t="s">
        <v>617</v>
      </c>
      <c r="C267" s="89">
        <v>2593597</v>
      </c>
      <c r="D267" s="89" t="s">
        <v>666</v>
      </c>
    </row>
    <row r="268" spans="1:4" x14ac:dyDescent="0.25">
      <c r="A268" s="89" t="s">
        <v>105</v>
      </c>
      <c r="B268" s="89" t="s">
        <v>617</v>
      </c>
      <c r="C268" s="89">
        <v>1917233</v>
      </c>
      <c r="D268" s="89" t="s">
        <v>666</v>
      </c>
    </row>
    <row r="269" spans="1:4" x14ac:dyDescent="0.25">
      <c r="A269" s="89" t="s">
        <v>105</v>
      </c>
      <c r="B269" s="89" t="s">
        <v>617</v>
      </c>
      <c r="C269" s="89">
        <v>2479327</v>
      </c>
      <c r="D269" s="89" t="s">
        <v>666</v>
      </c>
    </row>
    <row r="270" spans="1:4" x14ac:dyDescent="0.25">
      <c r="A270" s="89" t="s">
        <v>105</v>
      </c>
      <c r="B270" s="89" t="s">
        <v>617</v>
      </c>
      <c r="C270" s="89">
        <v>2127169</v>
      </c>
      <c r="D270" s="89" t="s">
        <v>666</v>
      </c>
    </row>
    <row r="271" spans="1:4" x14ac:dyDescent="0.25">
      <c r="A271" s="89" t="s">
        <v>105</v>
      </c>
      <c r="B271" s="89" t="s">
        <v>617</v>
      </c>
      <c r="C271" s="89">
        <v>556307</v>
      </c>
      <c r="D271" s="89" t="s">
        <v>666</v>
      </c>
    </row>
    <row r="272" spans="1:4" x14ac:dyDescent="0.25">
      <c r="A272" s="89" t="s">
        <v>105</v>
      </c>
      <c r="B272" s="89" t="s">
        <v>617</v>
      </c>
      <c r="C272" s="89">
        <v>1054334</v>
      </c>
      <c r="D272" s="89" t="s">
        <v>663</v>
      </c>
    </row>
    <row r="273" spans="1:4" x14ac:dyDescent="0.25">
      <c r="A273" s="89" t="s">
        <v>105</v>
      </c>
      <c r="B273" s="89" t="s">
        <v>617</v>
      </c>
      <c r="C273" s="89">
        <v>434262</v>
      </c>
      <c r="D273" s="89" t="s">
        <v>664</v>
      </c>
    </row>
    <row r="274" spans="1:4" x14ac:dyDescent="0.25">
      <c r="A274" s="89" t="s">
        <v>105</v>
      </c>
      <c r="B274" s="89" t="s">
        <v>617</v>
      </c>
      <c r="C274" s="89">
        <v>2277964</v>
      </c>
      <c r="D274" s="89" t="s">
        <v>663</v>
      </c>
    </row>
    <row r="275" spans="1:4" x14ac:dyDescent="0.25">
      <c r="A275" s="89" t="s">
        <v>105</v>
      </c>
      <c r="B275" s="89" t="s">
        <v>617</v>
      </c>
      <c r="C275" s="89">
        <v>3081793</v>
      </c>
      <c r="D275" s="89" t="s">
        <v>664</v>
      </c>
    </row>
    <row r="276" spans="1:4" x14ac:dyDescent="0.25">
      <c r="A276" s="89" t="s">
        <v>105</v>
      </c>
      <c r="B276" s="89" t="s">
        <v>617</v>
      </c>
      <c r="C276" s="89">
        <v>1056643</v>
      </c>
      <c r="D276" s="89" t="s">
        <v>663</v>
      </c>
    </row>
    <row r="277" spans="1:4" x14ac:dyDescent="0.25">
      <c r="A277" s="89" t="s">
        <v>105</v>
      </c>
      <c r="B277" s="89" t="s">
        <v>617</v>
      </c>
      <c r="C277" s="89">
        <v>808460</v>
      </c>
      <c r="D277" s="89" t="s">
        <v>666</v>
      </c>
    </row>
    <row r="278" spans="1:4" x14ac:dyDescent="0.25">
      <c r="A278" s="89" t="s">
        <v>105</v>
      </c>
      <c r="B278" s="89" t="s">
        <v>617</v>
      </c>
      <c r="C278" s="89">
        <v>1543702</v>
      </c>
      <c r="D278" s="89" t="s">
        <v>664</v>
      </c>
    </row>
    <row r="279" spans="1:4" x14ac:dyDescent="0.25">
      <c r="A279" s="89" t="s">
        <v>105</v>
      </c>
      <c r="B279" s="89" t="s">
        <v>617</v>
      </c>
      <c r="C279" s="89">
        <v>5347129</v>
      </c>
      <c r="D279" s="89" t="s">
        <v>664</v>
      </c>
    </row>
    <row r="280" spans="1:4" x14ac:dyDescent="0.25">
      <c r="A280" s="89" t="s">
        <v>105</v>
      </c>
      <c r="B280" s="89" t="s">
        <v>617</v>
      </c>
      <c r="C280" s="89">
        <v>2462790.9900000002</v>
      </c>
      <c r="D280" s="89" t="s">
        <v>666</v>
      </c>
    </row>
    <row r="281" spans="1:4" x14ac:dyDescent="0.25">
      <c r="A281" s="89" t="s">
        <v>105</v>
      </c>
      <c r="B281" s="89" t="s">
        <v>617</v>
      </c>
      <c r="C281" s="89">
        <v>102446</v>
      </c>
      <c r="D281" s="89" t="s">
        <v>666</v>
      </c>
    </row>
    <row r="282" spans="1:4" x14ac:dyDescent="0.25">
      <c r="A282" s="89" t="s">
        <v>105</v>
      </c>
      <c r="B282" s="89" t="s">
        <v>617</v>
      </c>
      <c r="C282" s="89">
        <v>2048631.31</v>
      </c>
      <c r="D282" s="89" t="s">
        <v>663</v>
      </c>
    </row>
    <row r="283" spans="1:4" x14ac:dyDescent="0.25">
      <c r="A283" s="89" t="s">
        <v>105</v>
      </c>
      <c r="B283" s="89" t="s">
        <v>617</v>
      </c>
      <c r="C283" s="89">
        <v>117856</v>
      </c>
      <c r="D283" s="89" t="s">
        <v>664</v>
      </c>
    </row>
    <row r="284" spans="1:4" x14ac:dyDescent="0.25">
      <c r="A284" s="89" t="s">
        <v>105</v>
      </c>
      <c r="B284" s="89" t="s">
        <v>617</v>
      </c>
      <c r="C284" s="89">
        <v>2895942</v>
      </c>
      <c r="D284" s="89" t="s">
        <v>664</v>
      </c>
    </row>
    <row r="285" spans="1:4" x14ac:dyDescent="0.25">
      <c r="A285" s="89" t="s">
        <v>105</v>
      </c>
      <c r="B285" s="89" t="s">
        <v>617</v>
      </c>
      <c r="C285" s="89">
        <v>3968592</v>
      </c>
      <c r="D285" s="89" t="s">
        <v>663</v>
      </c>
    </row>
    <row r="286" spans="1:4" x14ac:dyDescent="0.25">
      <c r="A286" s="89" t="s">
        <v>105</v>
      </c>
      <c r="B286" s="89" t="s">
        <v>617</v>
      </c>
      <c r="C286" s="89">
        <v>2728455</v>
      </c>
      <c r="D286" s="89" t="s">
        <v>663</v>
      </c>
    </row>
    <row r="287" spans="1:4" x14ac:dyDescent="0.25">
      <c r="A287" s="89" t="s">
        <v>105</v>
      </c>
      <c r="B287" s="89" t="s">
        <v>617</v>
      </c>
      <c r="C287" s="89">
        <v>683252</v>
      </c>
      <c r="D287" s="89" t="s">
        <v>664</v>
      </c>
    </row>
    <row r="288" spans="1:4" x14ac:dyDescent="0.25">
      <c r="A288" s="89" t="s">
        <v>105</v>
      </c>
      <c r="B288" s="89" t="s">
        <v>617</v>
      </c>
      <c r="C288" s="89">
        <v>4975763</v>
      </c>
      <c r="D288" s="89" t="s">
        <v>666</v>
      </c>
    </row>
    <row r="289" spans="1:4" x14ac:dyDescent="0.25">
      <c r="A289" s="89" t="s">
        <v>105</v>
      </c>
      <c r="B289" s="89" t="s">
        <v>617</v>
      </c>
      <c r="C289" s="89">
        <v>1194368</v>
      </c>
      <c r="D289" s="89" t="s">
        <v>666</v>
      </c>
    </row>
    <row r="290" spans="1:4" x14ac:dyDescent="0.25">
      <c r="A290" s="89" t="s">
        <v>105</v>
      </c>
      <c r="B290" s="89" t="s">
        <v>617</v>
      </c>
      <c r="C290" s="89">
        <v>4190549</v>
      </c>
      <c r="D290" s="89" t="s">
        <v>666</v>
      </c>
    </row>
    <row r="291" spans="1:4" x14ac:dyDescent="0.25">
      <c r="A291" s="89" t="s">
        <v>105</v>
      </c>
      <c r="B291" s="89" t="s">
        <v>617</v>
      </c>
      <c r="C291" s="89">
        <v>1514822</v>
      </c>
      <c r="D291" s="89" t="s">
        <v>664</v>
      </c>
    </row>
    <row r="292" spans="1:4" x14ac:dyDescent="0.25">
      <c r="A292" s="89" t="s">
        <v>105</v>
      </c>
      <c r="B292" s="89" t="s">
        <v>617</v>
      </c>
      <c r="C292" s="89">
        <v>-7889.33</v>
      </c>
      <c r="D292" s="89" t="s">
        <v>666</v>
      </c>
    </row>
    <row r="293" spans="1:4" x14ac:dyDescent="0.25">
      <c r="A293" s="89" t="s">
        <v>105</v>
      </c>
      <c r="B293" s="89" t="s">
        <v>617</v>
      </c>
      <c r="C293" s="89">
        <v>665766</v>
      </c>
      <c r="D293" s="89" t="s">
        <v>666</v>
      </c>
    </row>
    <row r="294" spans="1:4" x14ac:dyDescent="0.25">
      <c r="A294" s="89" t="s">
        <v>105</v>
      </c>
      <c r="B294" s="89" t="s">
        <v>617</v>
      </c>
      <c r="C294" s="89">
        <v>5722785</v>
      </c>
      <c r="D294" s="89" t="s">
        <v>664</v>
      </c>
    </row>
    <row r="295" spans="1:4" x14ac:dyDescent="0.25">
      <c r="A295" s="89" t="s">
        <v>105</v>
      </c>
      <c r="B295" s="89" t="s">
        <v>617</v>
      </c>
      <c r="C295" s="89">
        <v>1340588</v>
      </c>
      <c r="D295" s="89" t="s">
        <v>664</v>
      </c>
    </row>
    <row r="296" spans="1:4" x14ac:dyDescent="0.25">
      <c r="A296" s="89" t="s">
        <v>105</v>
      </c>
      <c r="B296" s="89" t="s">
        <v>617</v>
      </c>
      <c r="C296" s="89">
        <v>155138</v>
      </c>
      <c r="D296" s="89" t="s">
        <v>664</v>
      </c>
    </row>
    <row r="297" spans="1:4" x14ac:dyDescent="0.25">
      <c r="A297" s="89" t="s">
        <v>105</v>
      </c>
      <c r="B297" s="89" t="s">
        <v>617</v>
      </c>
      <c r="C297" s="89">
        <v>1418270</v>
      </c>
      <c r="D297" s="89" t="s">
        <v>663</v>
      </c>
    </row>
    <row r="298" spans="1:4" x14ac:dyDescent="0.25">
      <c r="A298" s="89" t="s">
        <v>105</v>
      </c>
      <c r="B298" s="89" t="s">
        <v>617</v>
      </c>
      <c r="C298" s="89">
        <v>477852</v>
      </c>
      <c r="D298" s="89" t="s">
        <v>666</v>
      </c>
    </row>
    <row r="299" spans="1:4" x14ac:dyDescent="0.25">
      <c r="A299" s="89" t="s">
        <v>220</v>
      </c>
      <c r="B299" s="89" t="s">
        <v>615</v>
      </c>
      <c r="C299" s="89">
        <v>1034958</v>
      </c>
      <c r="D299" s="89" t="s">
        <v>663</v>
      </c>
    </row>
    <row r="300" spans="1:4" x14ac:dyDescent="0.25">
      <c r="A300" s="89" t="s">
        <v>220</v>
      </c>
      <c r="B300" s="89" t="s">
        <v>615</v>
      </c>
      <c r="C300" s="89">
        <v>278826</v>
      </c>
      <c r="D300" s="89" t="s">
        <v>663</v>
      </c>
    </row>
    <row r="301" spans="1:4" x14ac:dyDescent="0.25">
      <c r="A301" s="89" t="s">
        <v>220</v>
      </c>
      <c r="B301" s="89" t="s">
        <v>615</v>
      </c>
      <c r="C301" s="89">
        <v>1254445</v>
      </c>
      <c r="D301" s="89" t="s">
        <v>663</v>
      </c>
    </row>
    <row r="302" spans="1:4" x14ac:dyDescent="0.25">
      <c r="A302" s="89" t="s">
        <v>220</v>
      </c>
      <c r="B302" s="89" t="s">
        <v>615</v>
      </c>
      <c r="C302" s="89">
        <v>1562755</v>
      </c>
      <c r="D302" s="89" t="s">
        <v>663</v>
      </c>
    </row>
    <row r="303" spans="1:4" x14ac:dyDescent="0.25">
      <c r="A303" s="89" t="s">
        <v>220</v>
      </c>
      <c r="B303" s="89" t="s">
        <v>615</v>
      </c>
      <c r="C303" s="89">
        <v>670382</v>
      </c>
      <c r="D303" s="89" t="s">
        <v>663</v>
      </c>
    </row>
    <row r="304" spans="1:4" x14ac:dyDescent="0.25">
      <c r="A304" s="89" t="s">
        <v>220</v>
      </c>
      <c r="B304" s="89" t="s">
        <v>615</v>
      </c>
      <c r="C304" s="89">
        <v>2485618</v>
      </c>
      <c r="D304" s="89" t="s">
        <v>666</v>
      </c>
    </row>
    <row r="305" spans="1:4" x14ac:dyDescent="0.25">
      <c r="A305" s="89" t="s">
        <v>220</v>
      </c>
      <c r="B305" s="89" t="s">
        <v>615</v>
      </c>
      <c r="C305" s="89">
        <v>958304</v>
      </c>
      <c r="D305" s="89" t="s">
        <v>663</v>
      </c>
    </row>
    <row r="306" spans="1:4" x14ac:dyDescent="0.25">
      <c r="A306" s="89" t="s">
        <v>220</v>
      </c>
      <c r="B306" s="89" t="s">
        <v>615</v>
      </c>
      <c r="C306" s="89">
        <v>2210201</v>
      </c>
      <c r="D306" s="89" t="s">
        <v>663</v>
      </c>
    </row>
    <row r="307" spans="1:4" x14ac:dyDescent="0.25">
      <c r="A307" s="89" t="s">
        <v>220</v>
      </c>
      <c r="B307" s="89" t="s">
        <v>615</v>
      </c>
      <c r="C307" s="89">
        <v>1016903</v>
      </c>
      <c r="D307" s="89" t="s">
        <v>663</v>
      </c>
    </row>
    <row r="308" spans="1:4" x14ac:dyDescent="0.25">
      <c r="A308" s="89" t="s">
        <v>220</v>
      </c>
      <c r="B308" s="89" t="s">
        <v>615</v>
      </c>
      <c r="C308" s="89">
        <v>489415</v>
      </c>
      <c r="D308" s="89" t="s">
        <v>666</v>
      </c>
    </row>
    <row r="309" spans="1:4" x14ac:dyDescent="0.25">
      <c r="A309" s="89" t="s">
        <v>220</v>
      </c>
      <c r="B309" s="89" t="s">
        <v>615</v>
      </c>
      <c r="C309" s="89">
        <v>1866235</v>
      </c>
      <c r="D309" s="89" t="s">
        <v>666</v>
      </c>
    </row>
    <row r="310" spans="1:4" x14ac:dyDescent="0.25">
      <c r="A310" s="89" t="s">
        <v>220</v>
      </c>
      <c r="B310" s="89" t="s">
        <v>615</v>
      </c>
      <c r="C310" s="89">
        <v>1334312</v>
      </c>
      <c r="D310" s="89" t="s">
        <v>663</v>
      </c>
    </row>
    <row r="311" spans="1:4" x14ac:dyDescent="0.25">
      <c r="A311" s="89" t="s">
        <v>220</v>
      </c>
      <c r="B311" s="89" t="s">
        <v>615</v>
      </c>
      <c r="C311" s="89">
        <v>987028</v>
      </c>
      <c r="D311" s="89" t="s">
        <v>663</v>
      </c>
    </row>
    <row r="312" spans="1:4" x14ac:dyDescent="0.25">
      <c r="A312" s="89" t="s">
        <v>220</v>
      </c>
      <c r="B312" s="89" t="s">
        <v>615</v>
      </c>
      <c r="C312" s="89">
        <v>50000</v>
      </c>
      <c r="D312" s="89" t="s">
        <v>666</v>
      </c>
    </row>
    <row r="313" spans="1:4" x14ac:dyDescent="0.25">
      <c r="A313" s="89" t="s">
        <v>220</v>
      </c>
      <c r="B313" s="89" t="s">
        <v>615</v>
      </c>
      <c r="C313" s="89">
        <v>2157525</v>
      </c>
      <c r="D313" s="89" t="s">
        <v>663</v>
      </c>
    </row>
    <row r="314" spans="1:4" x14ac:dyDescent="0.25">
      <c r="A314" s="89" t="s">
        <v>220</v>
      </c>
      <c r="B314" s="89" t="s">
        <v>615</v>
      </c>
      <c r="C314" s="89">
        <v>1094701</v>
      </c>
      <c r="D314" s="89" t="s">
        <v>666</v>
      </c>
    </row>
    <row r="315" spans="1:4" x14ac:dyDescent="0.25">
      <c r="A315" s="89" t="s">
        <v>220</v>
      </c>
      <c r="B315" s="89" t="s">
        <v>615</v>
      </c>
      <c r="C315" s="89">
        <v>1059126</v>
      </c>
      <c r="D315" s="89" t="s">
        <v>663</v>
      </c>
    </row>
    <row r="316" spans="1:4" x14ac:dyDescent="0.25">
      <c r="A316" s="89" t="s">
        <v>220</v>
      </c>
      <c r="B316" s="89" t="s">
        <v>615</v>
      </c>
      <c r="C316" s="89">
        <v>444149</v>
      </c>
      <c r="D316" s="89" t="s">
        <v>663</v>
      </c>
    </row>
    <row r="317" spans="1:4" x14ac:dyDescent="0.25">
      <c r="A317" s="89" t="s">
        <v>220</v>
      </c>
      <c r="B317" s="89" t="s">
        <v>615</v>
      </c>
      <c r="C317" s="89">
        <v>1792744</v>
      </c>
      <c r="D317" s="89" t="s">
        <v>663</v>
      </c>
    </row>
    <row r="318" spans="1:4" x14ac:dyDescent="0.25">
      <c r="A318" s="89" t="s">
        <v>220</v>
      </c>
      <c r="B318" s="89" t="s">
        <v>615</v>
      </c>
      <c r="C318" s="89">
        <v>5554596.3099999996</v>
      </c>
      <c r="D318" s="89" t="s">
        <v>663</v>
      </c>
    </row>
    <row r="319" spans="1:4" x14ac:dyDescent="0.25">
      <c r="A319" s="89" t="s">
        <v>220</v>
      </c>
      <c r="B319" s="89" t="s">
        <v>615</v>
      </c>
      <c r="C319" s="89">
        <v>501118</v>
      </c>
      <c r="D319" s="89" t="s">
        <v>666</v>
      </c>
    </row>
    <row r="320" spans="1:4" x14ac:dyDescent="0.25">
      <c r="A320" s="89" t="s">
        <v>220</v>
      </c>
      <c r="B320" s="89" t="s">
        <v>615</v>
      </c>
      <c r="C320" s="89">
        <v>164345</v>
      </c>
      <c r="D320" s="89" t="s">
        <v>666</v>
      </c>
    </row>
    <row r="321" spans="1:4" x14ac:dyDescent="0.25">
      <c r="A321" s="89" t="s">
        <v>220</v>
      </c>
      <c r="B321" s="89" t="s">
        <v>615</v>
      </c>
      <c r="C321" s="89">
        <v>2094360</v>
      </c>
      <c r="D321" s="89" t="s">
        <v>666</v>
      </c>
    </row>
    <row r="322" spans="1:4" x14ac:dyDescent="0.25">
      <c r="A322" s="89" t="s">
        <v>220</v>
      </c>
      <c r="B322" s="89" t="s">
        <v>615</v>
      </c>
      <c r="C322" s="89">
        <v>4438979</v>
      </c>
      <c r="D322" s="89" t="s">
        <v>666</v>
      </c>
    </row>
    <row r="323" spans="1:4" x14ac:dyDescent="0.25">
      <c r="A323" s="89" t="s">
        <v>220</v>
      </c>
      <c r="B323" s="89" t="s">
        <v>615</v>
      </c>
      <c r="C323" s="89">
        <v>498320</v>
      </c>
      <c r="D323" s="89" t="s">
        <v>666</v>
      </c>
    </row>
    <row r="324" spans="1:4" x14ac:dyDescent="0.25">
      <c r="A324" s="89" t="s">
        <v>220</v>
      </c>
      <c r="B324" s="89" t="s">
        <v>615</v>
      </c>
      <c r="C324" s="89">
        <v>3691774.61</v>
      </c>
      <c r="D324" s="89" t="s">
        <v>663</v>
      </c>
    </row>
    <row r="325" spans="1:4" x14ac:dyDescent="0.25">
      <c r="A325" s="89" t="s">
        <v>220</v>
      </c>
      <c r="B325" s="89" t="s">
        <v>615</v>
      </c>
      <c r="C325" s="89">
        <v>2200072</v>
      </c>
      <c r="D325" s="89" t="s">
        <v>663</v>
      </c>
    </row>
    <row r="326" spans="1:4" x14ac:dyDescent="0.25">
      <c r="A326" s="89" t="s">
        <v>220</v>
      </c>
      <c r="B326" s="89" t="s">
        <v>615</v>
      </c>
      <c r="C326" s="89">
        <v>3229676</v>
      </c>
      <c r="D326" s="89" t="s">
        <v>663</v>
      </c>
    </row>
    <row r="327" spans="1:4" x14ac:dyDescent="0.25">
      <c r="A327" s="89" t="s">
        <v>220</v>
      </c>
      <c r="B327" s="89" t="s">
        <v>615</v>
      </c>
      <c r="C327" s="89">
        <v>3112931.27</v>
      </c>
      <c r="D327" s="89" t="s">
        <v>663</v>
      </c>
    </row>
    <row r="328" spans="1:4" x14ac:dyDescent="0.25">
      <c r="A328" s="89" t="s">
        <v>218</v>
      </c>
      <c r="B328" s="89" t="s">
        <v>616</v>
      </c>
      <c r="C328" s="89">
        <v>61835</v>
      </c>
      <c r="D328" s="89" t="s">
        <v>663</v>
      </c>
    </row>
    <row r="329" spans="1:4" x14ac:dyDescent="0.25">
      <c r="A329" s="89" t="s">
        <v>218</v>
      </c>
      <c r="B329" s="89" t="s">
        <v>616</v>
      </c>
      <c r="C329" s="89">
        <v>342578</v>
      </c>
      <c r="D329" s="89" t="s">
        <v>663</v>
      </c>
    </row>
    <row r="330" spans="1:4" x14ac:dyDescent="0.25">
      <c r="A330" s="89" t="s">
        <v>218</v>
      </c>
      <c r="B330" s="89" t="s">
        <v>616</v>
      </c>
      <c r="C330" s="89">
        <v>114047</v>
      </c>
      <c r="D330" s="89" t="s">
        <v>663</v>
      </c>
    </row>
    <row r="331" spans="1:4" x14ac:dyDescent="0.25">
      <c r="A331" s="89" t="s">
        <v>218</v>
      </c>
      <c r="B331" s="89" t="s">
        <v>616</v>
      </c>
      <c r="C331" s="89">
        <v>260375</v>
      </c>
      <c r="D331" s="89" t="s">
        <v>663</v>
      </c>
    </row>
    <row r="332" spans="1:4" x14ac:dyDescent="0.25">
      <c r="A332" s="89" t="s">
        <v>218</v>
      </c>
      <c r="B332" s="89" t="s">
        <v>616</v>
      </c>
      <c r="C332" s="89">
        <v>66729</v>
      </c>
      <c r="D332" s="89" t="s">
        <v>663</v>
      </c>
    </row>
    <row r="333" spans="1:4" x14ac:dyDescent="0.25">
      <c r="A333" s="89" t="s">
        <v>218</v>
      </c>
      <c r="B333" s="89" t="s">
        <v>616</v>
      </c>
      <c r="C333" s="89">
        <v>282476</v>
      </c>
      <c r="D333" s="89" t="s">
        <v>663</v>
      </c>
    </row>
    <row r="334" spans="1:4" x14ac:dyDescent="0.25">
      <c r="A334" s="89" t="s">
        <v>218</v>
      </c>
      <c r="B334" s="89" t="s">
        <v>616</v>
      </c>
      <c r="C334" s="89">
        <v>-34730</v>
      </c>
      <c r="D334" s="89" t="s">
        <v>663</v>
      </c>
    </row>
    <row r="335" spans="1:4" x14ac:dyDescent="0.25">
      <c r="A335" s="89" t="s">
        <v>218</v>
      </c>
      <c r="B335" s="89" t="s">
        <v>616</v>
      </c>
      <c r="C335" s="89">
        <v>249345</v>
      </c>
      <c r="D335" s="89" t="s">
        <v>663</v>
      </c>
    </row>
    <row r="336" spans="1:4" x14ac:dyDescent="0.25">
      <c r="A336" s="89" t="s">
        <v>218</v>
      </c>
      <c r="B336" s="89" t="s">
        <v>616</v>
      </c>
      <c r="C336" s="89">
        <v>63878.77</v>
      </c>
      <c r="D336" s="89" t="s">
        <v>663</v>
      </c>
    </row>
    <row r="337" spans="1:4" x14ac:dyDescent="0.25">
      <c r="A337" s="89" t="s">
        <v>218</v>
      </c>
      <c r="B337" s="89" t="s">
        <v>616</v>
      </c>
      <c r="C337" s="89">
        <v>226687</v>
      </c>
      <c r="D337" s="89" t="s">
        <v>663</v>
      </c>
    </row>
    <row r="338" spans="1:4" x14ac:dyDescent="0.25">
      <c r="A338" s="89" t="s">
        <v>218</v>
      </c>
      <c r="B338" s="89" t="s">
        <v>616</v>
      </c>
      <c r="C338" s="89">
        <v>119309.19</v>
      </c>
      <c r="D338" s="89" t="s">
        <v>663</v>
      </c>
    </row>
    <row r="339" spans="1:4" x14ac:dyDescent="0.25">
      <c r="A339" s="89" t="s">
        <v>218</v>
      </c>
      <c r="B339" s="89" t="s">
        <v>616</v>
      </c>
      <c r="C339" s="89">
        <v>126894</v>
      </c>
      <c r="D339" s="89" t="s">
        <v>663</v>
      </c>
    </row>
    <row r="340" spans="1:4" x14ac:dyDescent="0.25">
      <c r="A340" s="89" t="s">
        <v>218</v>
      </c>
      <c r="B340" s="89" t="s">
        <v>616</v>
      </c>
      <c r="C340" s="89">
        <v>-49797.21</v>
      </c>
      <c r="D340" s="89" t="s">
        <v>663</v>
      </c>
    </row>
    <row r="341" spans="1:4" x14ac:dyDescent="0.25">
      <c r="A341" s="89" t="s">
        <v>218</v>
      </c>
      <c r="B341" s="89" t="s">
        <v>616</v>
      </c>
      <c r="C341" s="89">
        <v>58202.25</v>
      </c>
      <c r="D341" s="89" t="s">
        <v>663</v>
      </c>
    </row>
    <row r="342" spans="1:4" x14ac:dyDescent="0.25">
      <c r="A342" s="89" t="s">
        <v>218</v>
      </c>
      <c r="B342" s="89" t="s">
        <v>616</v>
      </c>
      <c r="C342" s="89">
        <v>68977</v>
      </c>
      <c r="D342" s="89" t="s">
        <v>663</v>
      </c>
    </row>
    <row r="343" spans="1:4" x14ac:dyDescent="0.25">
      <c r="A343" s="89" t="s">
        <v>218</v>
      </c>
      <c r="B343" s="89" t="s">
        <v>616</v>
      </c>
      <c r="C343" s="89">
        <v>141170</v>
      </c>
      <c r="D343" s="89" t="s">
        <v>663</v>
      </c>
    </row>
    <row r="344" spans="1:4" x14ac:dyDescent="0.25">
      <c r="A344" s="89" t="s">
        <v>218</v>
      </c>
      <c r="B344" s="89" t="s">
        <v>616</v>
      </c>
      <c r="C344" s="89">
        <v>979201</v>
      </c>
      <c r="D344" s="89" t="s">
        <v>663</v>
      </c>
    </row>
    <row r="345" spans="1:4" x14ac:dyDescent="0.25">
      <c r="A345" s="89" t="s">
        <v>104</v>
      </c>
      <c r="B345" s="89" t="s">
        <v>617</v>
      </c>
      <c r="C345" s="89">
        <v>646754</v>
      </c>
      <c r="D345" s="89" t="s">
        <v>664</v>
      </c>
    </row>
    <row r="346" spans="1:4" x14ac:dyDescent="0.25">
      <c r="A346" s="89" t="s">
        <v>104</v>
      </c>
      <c r="B346" s="89" t="s">
        <v>617</v>
      </c>
      <c r="C346" s="89">
        <v>201244.69</v>
      </c>
      <c r="D346" s="89" t="s">
        <v>664</v>
      </c>
    </row>
    <row r="347" spans="1:4" x14ac:dyDescent="0.25">
      <c r="A347" s="89" t="s">
        <v>104</v>
      </c>
      <c r="B347" s="89" t="s">
        <v>617</v>
      </c>
      <c r="C347" s="89">
        <v>131294</v>
      </c>
      <c r="D347" s="89" t="s">
        <v>664</v>
      </c>
    </row>
    <row r="348" spans="1:4" x14ac:dyDescent="0.25">
      <c r="A348" s="89" t="s">
        <v>104</v>
      </c>
      <c r="B348" s="89" t="s">
        <v>617</v>
      </c>
      <c r="C348" s="89">
        <v>205736</v>
      </c>
      <c r="D348" s="89" t="s">
        <v>666</v>
      </c>
    </row>
    <row r="349" spans="1:4" x14ac:dyDescent="0.25">
      <c r="A349" s="89" t="s">
        <v>104</v>
      </c>
      <c r="B349" s="89" t="s">
        <v>617</v>
      </c>
      <c r="C349" s="89">
        <v>183964</v>
      </c>
      <c r="D349" s="89" t="s">
        <v>666</v>
      </c>
    </row>
    <row r="350" spans="1:4" x14ac:dyDescent="0.25">
      <c r="A350" s="89" t="s">
        <v>104</v>
      </c>
      <c r="B350" s="89" t="s">
        <v>617</v>
      </c>
      <c r="C350" s="89">
        <v>97848</v>
      </c>
      <c r="D350" s="89" t="s">
        <v>666</v>
      </c>
    </row>
    <row r="351" spans="1:4" x14ac:dyDescent="0.25">
      <c r="A351" s="89" t="s">
        <v>104</v>
      </c>
      <c r="B351" s="89" t="s">
        <v>617</v>
      </c>
      <c r="C351" s="89">
        <v>618170.5</v>
      </c>
      <c r="D351" s="89" t="s">
        <v>666</v>
      </c>
    </row>
    <row r="352" spans="1:4" x14ac:dyDescent="0.25">
      <c r="A352" s="89" t="s">
        <v>104</v>
      </c>
      <c r="B352" s="89" t="s">
        <v>617</v>
      </c>
      <c r="C352" s="89">
        <v>169741.39</v>
      </c>
      <c r="D352" s="89" t="s">
        <v>664</v>
      </c>
    </row>
    <row r="353" spans="1:4" x14ac:dyDescent="0.25">
      <c r="A353" s="89" t="s">
        <v>104</v>
      </c>
      <c r="B353" s="89" t="s">
        <v>617</v>
      </c>
      <c r="C353" s="89">
        <v>189705.83</v>
      </c>
      <c r="D353" s="89" t="s">
        <v>666</v>
      </c>
    </row>
    <row r="354" spans="1:4" x14ac:dyDescent="0.25">
      <c r="A354" s="89" t="s">
        <v>104</v>
      </c>
      <c r="B354" s="89" t="s">
        <v>617</v>
      </c>
      <c r="C354" s="89">
        <v>2550739</v>
      </c>
      <c r="D354" s="89" t="s">
        <v>663</v>
      </c>
    </row>
    <row r="355" spans="1:4" x14ac:dyDescent="0.25">
      <c r="A355" s="89" t="s">
        <v>104</v>
      </c>
      <c r="B355" s="89" t="s">
        <v>617</v>
      </c>
      <c r="C355" s="89">
        <v>350199</v>
      </c>
      <c r="D355" s="89" t="s">
        <v>664</v>
      </c>
    </row>
    <row r="356" spans="1:4" x14ac:dyDescent="0.25">
      <c r="A356" s="89" t="s">
        <v>104</v>
      </c>
      <c r="B356" s="89" t="s">
        <v>617</v>
      </c>
      <c r="C356" s="89">
        <v>280237.93800000002</v>
      </c>
      <c r="D356" s="89" t="s">
        <v>666</v>
      </c>
    </row>
    <row r="357" spans="1:4" x14ac:dyDescent="0.25">
      <c r="A357" s="89" t="s">
        <v>104</v>
      </c>
      <c r="B357" s="89" t="s">
        <v>617</v>
      </c>
      <c r="C357" s="89">
        <v>2859636.04</v>
      </c>
      <c r="D357" s="89" t="s">
        <v>663</v>
      </c>
    </row>
    <row r="358" spans="1:4" x14ac:dyDescent="0.25">
      <c r="A358" s="89" t="s">
        <v>104</v>
      </c>
      <c r="B358" s="89" t="s">
        <v>617</v>
      </c>
      <c r="C358" s="89">
        <v>3218330</v>
      </c>
      <c r="D358" s="89" t="s">
        <v>663</v>
      </c>
    </row>
    <row r="359" spans="1:4" x14ac:dyDescent="0.25">
      <c r="A359" s="89" t="s">
        <v>104</v>
      </c>
      <c r="B359" s="89" t="s">
        <v>617</v>
      </c>
      <c r="C359" s="89">
        <v>59682</v>
      </c>
      <c r="D359" s="89" t="s">
        <v>664</v>
      </c>
    </row>
    <row r="360" spans="1:4" x14ac:dyDescent="0.25">
      <c r="A360" s="89" t="s">
        <v>104</v>
      </c>
      <c r="B360" s="89" t="s">
        <v>617</v>
      </c>
      <c r="C360" s="89">
        <v>1233020.8400000001</v>
      </c>
      <c r="D360" s="89" t="s">
        <v>666</v>
      </c>
    </row>
    <row r="361" spans="1:4" x14ac:dyDescent="0.25">
      <c r="A361" s="89" t="s">
        <v>104</v>
      </c>
      <c r="B361" s="89" t="s">
        <v>617</v>
      </c>
      <c r="C361" s="89">
        <v>675068.53</v>
      </c>
      <c r="D361" s="89" t="s">
        <v>666</v>
      </c>
    </row>
    <row r="362" spans="1:4" x14ac:dyDescent="0.25">
      <c r="A362" s="89" t="s">
        <v>104</v>
      </c>
      <c r="B362" s="89" t="s">
        <v>617</v>
      </c>
      <c r="C362" s="89">
        <v>189864.03</v>
      </c>
      <c r="D362" s="89" t="s">
        <v>666</v>
      </c>
    </row>
    <row r="363" spans="1:4" x14ac:dyDescent="0.25">
      <c r="A363" s="89" t="s">
        <v>104</v>
      </c>
      <c r="B363" s="89" t="s">
        <v>617</v>
      </c>
      <c r="C363" s="89">
        <v>65212.61</v>
      </c>
      <c r="D363" s="89" t="s">
        <v>664</v>
      </c>
    </row>
    <row r="364" spans="1:4" x14ac:dyDescent="0.25">
      <c r="A364" s="89" t="s">
        <v>104</v>
      </c>
      <c r="B364" s="89" t="s">
        <v>617</v>
      </c>
      <c r="C364" s="89">
        <v>767923.34</v>
      </c>
      <c r="D364" s="89" t="s">
        <v>663</v>
      </c>
    </row>
    <row r="365" spans="1:4" x14ac:dyDescent="0.25">
      <c r="A365" s="89" t="s">
        <v>104</v>
      </c>
      <c r="B365" s="89" t="s">
        <v>617</v>
      </c>
      <c r="C365" s="89">
        <v>642582.65</v>
      </c>
      <c r="D365" s="89" t="s">
        <v>666</v>
      </c>
    </row>
    <row r="366" spans="1:4" x14ac:dyDescent="0.25">
      <c r="A366" s="89" t="s">
        <v>104</v>
      </c>
      <c r="B366" s="89" t="s">
        <v>617</v>
      </c>
      <c r="C366" s="89">
        <v>119989.75</v>
      </c>
      <c r="D366" s="89" t="s">
        <v>666</v>
      </c>
    </row>
    <row r="367" spans="1:4" x14ac:dyDescent="0.25">
      <c r="A367" s="89" t="s">
        <v>104</v>
      </c>
      <c r="B367" s="89" t="s">
        <v>617</v>
      </c>
      <c r="C367" s="89">
        <v>149187.76999999999</v>
      </c>
      <c r="D367" s="89" t="s">
        <v>664</v>
      </c>
    </row>
    <row r="368" spans="1:4" x14ac:dyDescent="0.25">
      <c r="A368" s="89" t="s">
        <v>104</v>
      </c>
      <c r="B368" s="89" t="s">
        <v>617</v>
      </c>
      <c r="C368" s="89">
        <v>2200125.6</v>
      </c>
      <c r="D368" s="89" t="s">
        <v>663</v>
      </c>
    </row>
    <row r="369" spans="1:4" x14ac:dyDescent="0.25">
      <c r="A369" s="89" t="s">
        <v>104</v>
      </c>
      <c r="B369" s="89" t="s">
        <v>617</v>
      </c>
      <c r="C369" s="89">
        <v>3938294.11</v>
      </c>
      <c r="D369" s="89" t="s">
        <v>663</v>
      </c>
    </row>
    <row r="370" spans="1:4" x14ac:dyDescent="0.25">
      <c r="A370" s="89" t="s">
        <v>104</v>
      </c>
      <c r="B370" s="89" t="s">
        <v>617</v>
      </c>
      <c r="C370" s="89">
        <v>625931.91</v>
      </c>
      <c r="D370" s="89" t="s">
        <v>663</v>
      </c>
    </row>
    <row r="371" spans="1:4" x14ac:dyDescent="0.25">
      <c r="A371" s="89" t="s">
        <v>104</v>
      </c>
      <c r="B371" s="89" t="s">
        <v>617</v>
      </c>
      <c r="C371" s="89">
        <v>1342209.9</v>
      </c>
      <c r="D371" s="89" t="s">
        <v>663</v>
      </c>
    </row>
    <row r="372" spans="1:4" x14ac:dyDescent="0.25">
      <c r="A372" s="89" t="s">
        <v>104</v>
      </c>
      <c r="B372" s="89" t="s">
        <v>617</v>
      </c>
      <c r="C372" s="89">
        <v>226264.27</v>
      </c>
      <c r="D372" s="89" t="s">
        <v>663</v>
      </c>
    </row>
    <row r="373" spans="1:4" x14ac:dyDescent="0.25">
      <c r="A373" s="89" t="s">
        <v>104</v>
      </c>
      <c r="B373" s="89" t="s">
        <v>617</v>
      </c>
      <c r="C373" s="89">
        <v>1289866.07</v>
      </c>
      <c r="D373" s="89" t="s">
        <v>663</v>
      </c>
    </row>
    <row r="374" spans="1:4" x14ac:dyDescent="0.25">
      <c r="A374" s="89" t="s">
        <v>104</v>
      </c>
      <c r="B374" s="89" t="s">
        <v>617</v>
      </c>
      <c r="C374" s="89">
        <v>1462333.86</v>
      </c>
      <c r="D374" s="89" t="s">
        <v>664</v>
      </c>
    </row>
    <row r="375" spans="1:4" x14ac:dyDescent="0.25">
      <c r="A375" s="89" t="s">
        <v>104</v>
      </c>
      <c r="B375" s="89" t="s">
        <v>617</v>
      </c>
      <c r="C375" s="89">
        <v>6015791.2000000002</v>
      </c>
      <c r="D375" s="89" t="s">
        <v>663</v>
      </c>
    </row>
    <row r="376" spans="1:4" x14ac:dyDescent="0.25">
      <c r="A376" s="89" t="s">
        <v>104</v>
      </c>
      <c r="B376" s="89" t="s">
        <v>617</v>
      </c>
      <c r="C376" s="89">
        <v>897475</v>
      </c>
      <c r="D376" s="89" t="s">
        <v>664</v>
      </c>
    </row>
    <row r="377" spans="1:4" x14ac:dyDescent="0.25">
      <c r="A377" s="89" t="s">
        <v>104</v>
      </c>
      <c r="B377" s="89" t="s">
        <v>617</v>
      </c>
      <c r="C377" s="89">
        <v>217030.85</v>
      </c>
      <c r="D377" s="89" t="s">
        <v>664</v>
      </c>
    </row>
    <row r="378" spans="1:4" x14ac:dyDescent="0.25">
      <c r="A378" s="89" t="s">
        <v>104</v>
      </c>
      <c r="B378" s="89" t="s">
        <v>617</v>
      </c>
      <c r="C378" s="89">
        <v>506599</v>
      </c>
      <c r="D378" s="89" t="s">
        <v>664</v>
      </c>
    </row>
    <row r="379" spans="1:4" x14ac:dyDescent="0.25">
      <c r="A379" s="89" t="s">
        <v>104</v>
      </c>
      <c r="B379" s="89" t="s">
        <v>617</v>
      </c>
      <c r="C379" s="89">
        <v>2524480.87</v>
      </c>
      <c r="D379" s="89" t="s">
        <v>663</v>
      </c>
    </row>
    <row r="380" spans="1:4" x14ac:dyDescent="0.25">
      <c r="A380" s="89" t="s">
        <v>104</v>
      </c>
      <c r="B380" s="89" t="s">
        <v>617</v>
      </c>
      <c r="C380" s="89">
        <v>594460.02</v>
      </c>
      <c r="D380" s="89" t="s">
        <v>666</v>
      </c>
    </row>
    <row r="381" spans="1:4" x14ac:dyDescent="0.25">
      <c r="A381" s="89" t="s">
        <v>104</v>
      </c>
      <c r="B381" s="89" t="s">
        <v>617</v>
      </c>
      <c r="C381" s="89">
        <v>701244.21</v>
      </c>
      <c r="D381" s="89" t="s">
        <v>666</v>
      </c>
    </row>
    <row r="382" spans="1:4" x14ac:dyDescent="0.25">
      <c r="A382" s="89" t="s">
        <v>104</v>
      </c>
      <c r="B382" s="89" t="s">
        <v>617</v>
      </c>
      <c r="C382" s="89">
        <v>468321.87</v>
      </c>
      <c r="D382" s="89" t="s">
        <v>663</v>
      </c>
    </row>
    <row r="383" spans="1:4" x14ac:dyDescent="0.25">
      <c r="A383" s="89" t="s">
        <v>104</v>
      </c>
      <c r="B383" s="89" t="s">
        <v>617</v>
      </c>
      <c r="C383" s="89">
        <v>89242.74</v>
      </c>
      <c r="D383" s="89" t="s">
        <v>664</v>
      </c>
    </row>
    <row r="384" spans="1:4" x14ac:dyDescent="0.25">
      <c r="A384" s="89" t="s">
        <v>104</v>
      </c>
      <c r="B384" s="89" t="s">
        <v>617</v>
      </c>
      <c r="C384" s="89">
        <v>107308</v>
      </c>
      <c r="D384" s="89" t="s">
        <v>664</v>
      </c>
    </row>
    <row r="385" spans="1:4" x14ac:dyDescent="0.25">
      <c r="A385" s="89" t="s">
        <v>104</v>
      </c>
      <c r="B385" s="89" t="s">
        <v>617</v>
      </c>
      <c r="C385" s="89">
        <v>3312615.26</v>
      </c>
      <c r="D385" s="89" t="s">
        <v>663</v>
      </c>
    </row>
    <row r="386" spans="1:4" x14ac:dyDescent="0.25">
      <c r="A386" s="89" t="s">
        <v>104</v>
      </c>
      <c r="B386" s="89" t="s">
        <v>617</v>
      </c>
      <c r="C386" s="89">
        <v>83738.23</v>
      </c>
      <c r="D386" s="89" t="s">
        <v>664</v>
      </c>
    </row>
    <row r="387" spans="1:4" x14ac:dyDescent="0.25">
      <c r="A387" s="89" t="s">
        <v>104</v>
      </c>
      <c r="B387" s="89" t="s">
        <v>617</v>
      </c>
      <c r="C387" s="89">
        <v>4057464</v>
      </c>
      <c r="D387" s="89" t="s">
        <v>663</v>
      </c>
    </row>
    <row r="388" spans="1:4" x14ac:dyDescent="0.25">
      <c r="A388" s="89" t="s">
        <v>104</v>
      </c>
      <c r="B388" s="89" t="s">
        <v>617</v>
      </c>
      <c r="C388" s="89">
        <v>549596</v>
      </c>
      <c r="D388" s="89" t="s">
        <v>663</v>
      </c>
    </row>
    <row r="389" spans="1:4" x14ac:dyDescent="0.25">
      <c r="A389" s="89" t="s">
        <v>104</v>
      </c>
      <c r="B389" s="89" t="s">
        <v>617</v>
      </c>
      <c r="C389" s="89">
        <v>501009</v>
      </c>
      <c r="D389" s="89" t="s">
        <v>663</v>
      </c>
    </row>
    <row r="390" spans="1:4" x14ac:dyDescent="0.25">
      <c r="A390" s="89" t="s">
        <v>104</v>
      </c>
      <c r="B390" s="89" t="s">
        <v>617</v>
      </c>
      <c r="C390" s="89">
        <v>223792</v>
      </c>
      <c r="D390" s="89" t="s">
        <v>666</v>
      </c>
    </row>
    <row r="391" spans="1:4" x14ac:dyDescent="0.25">
      <c r="A391" s="89" t="s">
        <v>104</v>
      </c>
      <c r="B391" s="89" t="s">
        <v>617</v>
      </c>
      <c r="C391" s="89">
        <v>728444</v>
      </c>
      <c r="D391" s="89" t="s">
        <v>664</v>
      </c>
    </row>
    <row r="392" spans="1:4" x14ac:dyDescent="0.25">
      <c r="A392" s="89" t="s">
        <v>104</v>
      </c>
      <c r="B392" s="89" t="s">
        <v>617</v>
      </c>
      <c r="C392" s="89">
        <v>341021</v>
      </c>
      <c r="D392" s="89" t="s">
        <v>664</v>
      </c>
    </row>
    <row r="393" spans="1:4" x14ac:dyDescent="0.25">
      <c r="A393" s="89" t="s">
        <v>104</v>
      </c>
      <c r="B393" s="89" t="s">
        <v>617</v>
      </c>
      <c r="C393" s="89">
        <v>174410</v>
      </c>
      <c r="D393" s="89" t="s">
        <v>664</v>
      </c>
    </row>
    <row r="394" spans="1:4" x14ac:dyDescent="0.25">
      <c r="A394" s="89" t="s">
        <v>104</v>
      </c>
      <c r="B394" s="89" t="s">
        <v>617</v>
      </c>
      <c r="C394" s="89">
        <v>1455498.89</v>
      </c>
      <c r="D394" s="89" t="s">
        <v>663</v>
      </c>
    </row>
    <row r="395" spans="1:4" x14ac:dyDescent="0.25">
      <c r="A395" s="89" t="s">
        <v>104</v>
      </c>
      <c r="B395" s="89" t="s">
        <v>617</v>
      </c>
      <c r="C395" s="89">
        <v>699770.16</v>
      </c>
      <c r="D395" s="89" t="s">
        <v>666</v>
      </c>
    </row>
    <row r="396" spans="1:4" x14ac:dyDescent="0.25">
      <c r="A396" s="89" t="s">
        <v>104</v>
      </c>
      <c r="B396" s="89" t="s">
        <v>617</v>
      </c>
      <c r="C396" s="89">
        <v>50000</v>
      </c>
      <c r="D396" s="89" t="s">
        <v>666</v>
      </c>
    </row>
    <row r="397" spans="1:4" x14ac:dyDescent="0.25">
      <c r="A397" s="89" t="s">
        <v>104</v>
      </c>
      <c r="B397" s="89" t="s">
        <v>617</v>
      </c>
      <c r="C397" s="89">
        <v>1539357.32</v>
      </c>
      <c r="D397" s="89" t="s">
        <v>663</v>
      </c>
    </row>
    <row r="398" spans="1:4" x14ac:dyDescent="0.25">
      <c r="A398" s="89" t="s">
        <v>104</v>
      </c>
      <c r="B398" s="89" t="s">
        <v>617</v>
      </c>
      <c r="C398" s="89">
        <v>470417.11</v>
      </c>
      <c r="D398" s="89" t="s">
        <v>666</v>
      </c>
    </row>
    <row r="399" spans="1:4" x14ac:dyDescent="0.25">
      <c r="A399" s="89" t="s">
        <v>104</v>
      </c>
      <c r="B399" s="89" t="s">
        <v>617</v>
      </c>
      <c r="C399" s="89">
        <v>7417389.4100000001</v>
      </c>
      <c r="D399" s="89" t="s">
        <v>663</v>
      </c>
    </row>
    <row r="400" spans="1:4" x14ac:dyDescent="0.25">
      <c r="A400" s="89" t="s">
        <v>104</v>
      </c>
      <c r="B400" s="89" t="s">
        <v>617</v>
      </c>
      <c r="C400" s="89">
        <v>747736.16</v>
      </c>
      <c r="D400" s="89" t="s">
        <v>666</v>
      </c>
    </row>
    <row r="401" spans="1:4" x14ac:dyDescent="0.25">
      <c r="A401" s="89" t="s">
        <v>104</v>
      </c>
      <c r="B401" s="89" t="s">
        <v>617</v>
      </c>
      <c r="C401" s="89">
        <v>112678.18</v>
      </c>
      <c r="D401" s="89" t="s">
        <v>664</v>
      </c>
    </row>
    <row r="402" spans="1:4" x14ac:dyDescent="0.25">
      <c r="A402" s="89" t="s">
        <v>104</v>
      </c>
      <c r="B402" s="89" t="s">
        <v>617</v>
      </c>
      <c r="C402" s="89">
        <v>360084.39</v>
      </c>
      <c r="D402" s="89" t="s">
        <v>663</v>
      </c>
    </row>
    <row r="403" spans="1:4" x14ac:dyDescent="0.25">
      <c r="A403" s="89" t="s">
        <v>104</v>
      </c>
      <c r="B403" s="89" t="s">
        <v>617</v>
      </c>
      <c r="C403" s="89">
        <v>50000</v>
      </c>
      <c r="D403" s="89" t="s">
        <v>664</v>
      </c>
    </row>
    <row r="404" spans="1:4" x14ac:dyDescent="0.25">
      <c r="A404" s="89" t="s">
        <v>104</v>
      </c>
      <c r="B404" s="89" t="s">
        <v>617</v>
      </c>
      <c r="C404" s="89">
        <v>5969466.7999999998</v>
      </c>
      <c r="D404" s="89" t="s">
        <v>664</v>
      </c>
    </row>
    <row r="405" spans="1:4" x14ac:dyDescent="0.25">
      <c r="A405" s="89" t="s">
        <v>104</v>
      </c>
      <c r="B405" s="89" t="s">
        <v>617</v>
      </c>
      <c r="C405" s="89">
        <v>883492.72</v>
      </c>
      <c r="D405" s="89" t="s">
        <v>666</v>
      </c>
    </row>
    <row r="406" spans="1:4" x14ac:dyDescent="0.25">
      <c r="A406" s="89" t="s">
        <v>104</v>
      </c>
      <c r="B406" s="89" t="s">
        <v>617</v>
      </c>
      <c r="C406" s="89">
        <v>2145418.14</v>
      </c>
      <c r="D406" s="89" t="s">
        <v>663</v>
      </c>
    </row>
    <row r="407" spans="1:4" x14ac:dyDescent="0.25">
      <c r="A407" s="89" t="s">
        <v>104</v>
      </c>
      <c r="B407" s="89" t="s">
        <v>617</v>
      </c>
      <c r="C407" s="89">
        <v>118304</v>
      </c>
      <c r="D407" s="89" t="s">
        <v>664</v>
      </c>
    </row>
    <row r="408" spans="1:4" x14ac:dyDescent="0.25">
      <c r="A408" s="89" t="s">
        <v>104</v>
      </c>
      <c r="B408" s="89" t="s">
        <v>617</v>
      </c>
      <c r="C408" s="89">
        <v>199180</v>
      </c>
      <c r="D408" s="89" t="s">
        <v>664</v>
      </c>
    </row>
    <row r="409" spans="1:4" x14ac:dyDescent="0.25">
      <c r="A409" s="89" t="s">
        <v>104</v>
      </c>
      <c r="B409" s="89" t="s">
        <v>617</v>
      </c>
      <c r="C409" s="89">
        <v>2544588.35</v>
      </c>
      <c r="D409" s="89" t="s">
        <v>663</v>
      </c>
    </row>
    <row r="410" spans="1:4" x14ac:dyDescent="0.25">
      <c r="A410" s="89" t="s">
        <v>104</v>
      </c>
      <c r="B410" s="89" t="s">
        <v>617</v>
      </c>
      <c r="C410" s="89">
        <v>3182889.8</v>
      </c>
      <c r="D410" s="89" t="s">
        <v>663</v>
      </c>
    </row>
    <row r="411" spans="1:4" x14ac:dyDescent="0.25">
      <c r="A411" s="89" t="s">
        <v>104</v>
      </c>
      <c r="B411" s="89" t="s">
        <v>617</v>
      </c>
      <c r="C411" s="89">
        <v>3508126.8</v>
      </c>
      <c r="D411" s="89" t="s">
        <v>663</v>
      </c>
    </row>
    <row r="412" spans="1:4" x14ac:dyDescent="0.25">
      <c r="A412" s="89" t="s">
        <v>104</v>
      </c>
      <c r="B412" s="89" t="s">
        <v>617</v>
      </c>
      <c r="C412" s="89">
        <v>2959720.99</v>
      </c>
      <c r="D412" s="89" t="s">
        <v>663</v>
      </c>
    </row>
    <row r="413" spans="1:4" x14ac:dyDescent="0.25">
      <c r="A413" s="89" t="s">
        <v>104</v>
      </c>
      <c r="B413" s="89" t="s">
        <v>617</v>
      </c>
      <c r="C413" s="89">
        <v>1935949.59</v>
      </c>
      <c r="D413" s="89" t="s">
        <v>664</v>
      </c>
    </row>
    <row r="414" spans="1:4" x14ac:dyDescent="0.25">
      <c r="A414" s="89" t="s">
        <v>104</v>
      </c>
      <c r="B414" s="89" t="s">
        <v>617</v>
      </c>
      <c r="C414" s="89">
        <v>18312933.600000001</v>
      </c>
      <c r="D414" s="89" t="s">
        <v>664</v>
      </c>
    </row>
    <row r="415" spans="1:4" x14ac:dyDescent="0.25">
      <c r="A415" s="89" t="s">
        <v>104</v>
      </c>
      <c r="B415" s="89" t="s">
        <v>617</v>
      </c>
      <c r="C415" s="89">
        <v>1348003.53</v>
      </c>
      <c r="D415" s="89" t="s">
        <v>666</v>
      </c>
    </row>
    <row r="416" spans="1:4" x14ac:dyDescent="0.25">
      <c r="A416" s="89" t="s">
        <v>104</v>
      </c>
      <c r="B416" s="89" t="s">
        <v>617</v>
      </c>
      <c r="C416" s="89">
        <v>280382.96000000002</v>
      </c>
      <c r="D416" s="89" t="s">
        <v>666</v>
      </c>
    </row>
    <row r="417" spans="1:4" x14ac:dyDescent="0.25">
      <c r="A417" s="89" t="s">
        <v>104</v>
      </c>
      <c r="B417" s="89" t="s">
        <v>617</v>
      </c>
      <c r="C417" s="89">
        <v>593647.74</v>
      </c>
      <c r="D417" s="89" t="s">
        <v>664</v>
      </c>
    </row>
    <row r="418" spans="1:4" x14ac:dyDescent="0.25">
      <c r="A418" s="89" t="s">
        <v>104</v>
      </c>
      <c r="B418" s="89" t="s">
        <v>617</v>
      </c>
      <c r="C418" s="89">
        <v>2389210.8199999998</v>
      </c>
      <c r="D418" s="89" t="s">
        <v>664</v>
      </c>
    </row>
    <row r="419" spans="1:4" x14ac:dyDescent="0.25">
      <c r="A419" s="89" t="s">
        <v>104</v>
      </c>
      <c r="B419" s="89" t="s">
        <v>617</v>
      </c>
      <c r="C419" s="89">
        <v>1045489.57</v>
      </c>
      <c r="D419" s="89" t="s">
        <v>666</v>
      </c>
    </row>
    <row r="420" spans="1:4" x14ac:dyDescent="0.25">
      <c r="A420" s="89" t="s">
        <v>104</v>
      </c>
      <c r="B420" s="89" t="s">
        <v>617</v>
      </c>
      <c r="C420" s="89">
        <v>2054583.96</v>
      </c>
      <c r="D420" s="89" t="s">
        <v>666</v>
      </c>
    </row>
    <row r="421" spans="1:4" x14ac:dyDescent="0.25">
      <c r="A421" s="89" t="s">
        <v>59</v>
      </c>
      <c r="B421" s="89" t="s">
        <v>616</v>
      </c>
      <c r="C421" s="89">
        <v>503587</v>
      </c>
      <c r="D421" s="89" t="s">
        <v>664</v>
      </c>
    </row>
    <row r="422" spans="1:4" x14ac:dyDescent="0.25">
      <c r="A422" s="89" t="s">
        <v>59</v>
      </c>
      <c r="B422" s="89" t="s">
        <v>616</v>
      </c>
      <c r="C422" s="89">
        <v>196216</v>
      </c>
      <c r="D422" s="89" t="s">
        <v>666</v>
      </c>
    </row>
    <row r="423" spans="1:4" x14ac:dyDescent="0.25">
      <c r="A423" s="89" t="s">
        <v>59</v>
      </c>
      <c r="B423" s="89" t="s">
        <v>616</v>
      </c>
      <c r="C423" s="89">
        <v>405429</v>
      </c>
      <c r="D423" s="89" t="s">
        <v>664</v>
      </c>
    </row>
    <row r="424" spans="1:4" x14ac:dyDescent="0.25">
      <c r="A424" s="89" t="s">
        <v>59</v>
      </c>
      <c r="B424" s="89" t="s">
        <v>616</v>
      </c>
      <c r="C424" s="89">
        <v>307738</v>
      </c>
      <c r="D424" s="89" t="s">
        <v>666</v>
      </c>
    </row>
    <row r="425" spans="1:4" x14ac:dyDescent="0.25">
      <c r="A425" s="89" t="s">
        <v>59</v>
      </c>
      <c r="B425" s="89" t="s">
        <v>616</v>
      </c>
      <c r="C425" s="89">
        <v>726894</v>
      </c>
      <c r="D425" s="89" t="s">
        <v>664</v>
      </c>
    </row>
    <row r="426" spans="1:4" x14ac:dyDescent="0.25">
      <c r="A426" s="89" t="s">
        <v>59</v>
      </c>
      <c r="B426" s="89" t="s">
        <v>616</v>
      </c>
      <c r="C426" s="89">
        <v>184274</v>
      </c>
      <c r="D426" s="89" t="s">
        <v>666</v>
      </c>
    </row>
    <row r="427" spans="1:4" x14ac:dyDescent="0.25">
      <c r="A427" s="89" t="s">
        <v>59</v>
      </c>
      <c r="B427" s="89" t="s">
        <v>616</v>
      </c>
      <c r="C427" s="89">
        <v>387140</v>
      </c>
      <c r="D427" s="89" t="s">
        <v>663</v>
      </c>
    </row>
    <row r="428" spans="1:4" x14ac:dyDescent="0.25">
      <c r="A428" s="89" t="s">
        <v>59</v>
      </c>
      <c r="B428" s="89" t="s">
        <v>616</v>
      </c>
      <c r="C428" s="89">
        <v>50000</v>
      </c>
      <c r="D428" s="89" t="s">
        <v>666</v>
      </c>
    </row>
    <row r="429" spans="1:4" x14ac:dyDescent="0.25">
      <c r="A429" s="89" t="s">
        <v>59</v>
      </c>
      <c r="B429" s="89" t="s">
        <v>616</v>
      </c>
      <c r="C429" s="89">
        <v>315975</v>
      </c>
      <c r="D429" s="89" t="s">
        <v>666</v>
      </c>
    </row>
    <row r="430" spans="1:4" x14ac:dyDescent="0.25">
      <c r="A430" s="89" t="s">
        <v>59</v>
      </c>
      <c r="B430" s="89" t="s">
        <v>616</v>
      </c>
      <c r="C430" s="89">
        <v>286495.74</v>
      </c>
      <c r="D430" s="89" t="s">
        <v>664</v>
      </c>
    </row>
    <row r="431" spans="1:4" x14ac:dyDescent="0.25">
      <c r="A431" s="89" t="s">
        <v>59</v>
      </c>
      <c r="B431" s="89" t="s">
        <v>616</v>
      </c>
      <c r="C431" s="89">
        <v>105439</v>
      </c>
      <c r="D431" s="89" t="s">
        <v>666</v>
      </c>
    </row>
    <row r="432" spans="1:4" x14ac:dyDescent="0.25">
      <c r="A432" s="89" t="s">
        <v>59</v>
      </c>
      <c r="B432" s="89" t="s">
        <v>616</v>
      </c>
      <c r="C432" s="89">
        <v>71696.800000000003</v>
      </c>
      <c r="D432" s="89" t="s">
        <v>666</v>
      </c>
    </row>
    <row r="433" spans="1:4" x14ac:dyDescent="0.25">
      <c r="A433" s="89" t="s">
        <v>59</v>
      </c>
      <c r="B433" s="89" t="s">
        <v>616</v>
      </c>
      <c r="C433" s="89">
        <v>95125.96</v>
      </c>
      <c r="D433" s="89" t="s">
        <v>664</v>
      </c>
    </row>
    <row r="434" spans="1:4" x14ac:dyDescent="0.25">
      <c r="A434" s="89" t="s">
        <v>59</v>
      </c>
      <c r="B434" s="89" t="s">
        <v>616</v>
      </c>
      <c r="C434" s="89">
        <v>622600</v>
      </c>
      <c r="D434" s="89" t="s">
        <v>663</v>
      </c>
    </row>
    <row r="435" spans="1:4" x14ac:dyDescent="0.25">
      <c r="A435" s="89" t="s">
        <v>59</v>
      </c>
      <c r="B435" s="89" t="s">
        <v>616</v>
      </c>
      <c r="C435" s="89">
        <v>964723</v>
      </c>
      <c r="D435" s="89" t="s">
        <v>664</v>
      </c>
    </row>
    <row r="436" spans="1:4" x14ac:dyDescent="0.25">
      <c r="A436" s="89" t="s">
        <v>59</v>
      </c>
      <c r="B436" s="89" t="s">
        <v>616</v>
      </c>
      <c r="C436" s="89">
        <v>191880.63</v>
      </c>
      <c r="D436" s="89" t="s">
        <v>664</v>
      </c>
    </row>
    <row r="437" spans="1:4" x14ac:dyDescent="0.25">
      <c r="A437" s="89" t="s">
        <v>59</v>
      </c>
      <c r="B437" s="89" t="s">
        <v>616</v>
      </c>
      <c r="C437" s="89">
        <v>263924</v>
      </c>
      <c r="D437" s="89" t="s">
        <v>663</v>
      </c>
    </row>
    <row r="438" spans="1:4" x14ac:dyDescent="0.25">
      <c r="A438" s="89" t="s">
        <v>59</v>
      </c>
      <c r="B438" s="89" t="s">
        <v>616</v>
      </c>
      <c r="C438" s="89">
        <v>339055.85</v>
      </c>
      <c r="D438" s="89" t="s">
        <v>664</v>
      </c>
    </row>
    <row r="439" spans="1:4" x14ac:dyDescent="0.25">
      <c r="A439" s="89" t="s">
        <v>59</v>
      </c>
      <c r="B439" s="89" t="s">
        <v>616</v>
      </c>
      <c r="C439" s="89">
        <v>205380</v>
      </c>
      <c r="D439" s="89" t="s">
        <v>666</v>
      </c>
    </row>
    <row r="440" spans="1:4" x14ac:dyDescent="0.25">
      <c r="A440" s="89" t="s">
        <v>59</v>
      </c>
      <c r="B440" s="89" t="s">
        <v>616</v>
      </c>
      <c r="C440" s="89">
        <v>46500.41</v>
      </c>
      <c r="D440" s="89" t="s">
        <v>666</v>
      </c>
    </row>
    <row r="441" spans="1:4" x14ac:dyDescent="0.25">
      <c r="A441" s="89" t="s">
        <v>59</v>
      </c>
      <c r="B441" s="89" t="s">
        <v>616</v>
      </c>
      <c r="C441" s="89">
        <v>50000</v>
      </c>
      <c r="D441" s="89" t="s">
        <v>666</v>
      </c>
    </row>
    <row r="442" spans="1:4" x14ac:dyDescent="0.25">
      <c r="A442" s="89" t="s">
        <v>59</v>
      </c>
      <c r="B442" s="89" t="s">
        <v>616</v>
      </c>
      <c r="C442" s="89">
        <v>260266.55</v>
      </c>
      <c r="D442" s="89" t="s">
        <v>664</v>
      </c>
    </row>
    <row r="443" spans="1:4" x14ac:dyDescent="0.25">
      <c r="A443" s="89" t="s">
        <v>59</v>
      </c>
      <c r="B443" s="89" t="s">
        <v>616</v>
      </c>
      <c r="C443" s="89">
        <v>276261.89</v>
      </c>
      <c r="D443" s="89" t="s">
        <v>663</v>
      </c>
    </row>
    <row r="444" spans="1:4" x14ac:dyDescent="0.25">
      <c r="A444" s="89" t="s">
        <v>59</v>
      </c>
      <c r="B444" s="89" t="s">
        <v>616</v>
      </c>
      <c r="C444" s="89">
        <v>50000</v>
      </c>
      <c r="D444" s="89" t="s">
        <v>666</v>
      </c>
    </row>
    <row r="445" spans="1:4" x14ac:dyDescent="0.25">
      <c r="A445" s="89" t="s">
        <v>59</v>
      </c>
      <c r="B445" s="89" t="s">
        <v>616</v>
      </c>
      <c r="C445" s="89">
        <v>108126.33</v>
      </c>
      <c r="D445" s="89" t="s">
        <v>666</v>
      </c>
    </row>
    <row r="446" spans="1:4" x14ac:dyDescent="0.25">
      <c r="A446" s="89" t="s">
        <v>59</v>
      </c>
      <c r="B446" s="89" t="s">
        <v>616</v>
      </c>
      <c r="C446" s="89">
        <v>428192.77</v>
      </c>
      <c r="D446" s="89" t="s">
        <v>663</v>
      </c>
    </row>
    <row r="447" spans="1:4" x14ac:dyDescent="0.25">
      <c r="A447" s="89" t="s">
        <v>690</v>
      </c>
      <c r="B447" s="89" t="s">
        <v>616</v>
      </c>
      <c r="C447" s="89">
        <v>780367</v>
      </c>
      <c r="D447" s="89" t="s">
        <v>664</v>
      </c>
    </row>
    <row r="448" spans="1:4" x14ac:dyDescent="0.25">
      <c r="A448" s="89" t="s">
        <v>690</v>
      </c>
      <c r="B448" s="89" t="s">
        <v>616</v>
      </c>
      <c r="C448" s="89">
        <v>358665</v>
      </c>
      <c r="D448" s="89" t="s">
        <v>664</v>
      </c>
    </row>
    <row r="449" spans="1:4" x14ac:dyDescent="0.25">
      <c r="A449" s="89" t="s">
        <v>690</v>
      </c>
      <c r="B449" s="89" t="s">
        <v>616</v>
      </c>
      <c r="C449" s="89">
        <v>244570</v>
      </c>
      <c r="D449" s="89" t="s">
        <v>664</v>
      </c>
    </row>
    <row r="450" spans="1:4" x14ac:dyDescent="0.25">
      <c r="A450" s="89" t="s">
        <v>690</v>
      </c>
      <c r="B450" s="89" t="s">
        <v>616</v>
      </c>
      <c r="C450" s="89">
        <v>252872</v>
      </c>
      <c r="D450" s="89" t="s">
        <v>663</v>
      </c>
    </row>
    <row r="451" spans="1:4" x14ac:dyDescent="0.25">
      <c r="A451" s="89" t="s">
        <v>690</v>
      </c>
      <c r="B451" s="89" t="s">
        <v>616</v>
      </c>
      <c r="C451" s="89">
        <v>348260</v>
      </c>
      <c r="D451" s="89" t="s">
        <v>664</v>
      </c>
    </row>
    <row r="452" spans="1:4" x14ac:dyDescent="0.25">
      <c r="A452" s="89" t="s">
        <v>690</v>
      </c>
      <c r="B452" s="89" t="s">
        <v>616</v>
      </c>
      <c r="C452" s="89">
        <v>105000</v>
      </c>
      <c r="D452" s="89" t="s">
        <v>664</v>
      </c>
    </row>
    <row r="453" spans="1:4" x14ac:dyDescent="0.25">
      <c r="A453" s="89" t="s">
        <v>690</v>
      </c>
      <c r="B453" s="89" t="s">
        <v>616</v>
      </c>
      <c r="C453" s="89">
        <v>519956</v>
      </c>
      <c r="D453" s="89" t="s">
        <v>666</v>
      </c>
    </row>
    <row r="454" spans="1:4" x14ac:dyDescent="0.25">
      <c r="A454" s="89" t="s">
        <v>690</v>
      </c>
      <c r="B454" s="89" t="s">
        <v>616</v>
      </c>
      <c r="C454" s="89">
        <v>1272204</v>
      </c>
      <c r="D454" s="89" t="s">
        <v>664</v>
      </c>
    </row>
    <row r="455" spans="1:4" x14ac:dyDescent="0.25">
      <c r="A455" s="89" t="s">
        <v>690</v>
      </c>
      <c r="B455" s="89" t="s">
        <v>616</v>
      </c>
      <c r="C455" s="89">
        <v>352259</v>
      </c>
      <c r="D455" s="89" t="s">
        <v>663</v>
      </c>
    </row>
    <row r="456" spans="1:4" x14ac:dyDescent="0.25">
      <c r="A456" s="89" t="s">
        <v>690</v>
      </c>
      <c r="B456" s="89" t="s">
        <v>616</v>
      </c>
      <c r="C456" s="89">
        <v>126000</v>
      </c>
      <c r="D456" s="89" t="s">
        <v>666</v>
      </c>
    </row>
    <row r="457" spans="1:4" x14ac:dyDescent="0.25">
      <c r="A457" s="89" t="s">
        <v>690</v>
      </c>
      <c r="B457" s="89" t="s">
        <v>616</v>
      </c>
      <c r="C457" s="89">
        <v>2104537</v>
      </c>
      <c r="D457" s="89" t="s">
        <v>663</v>
      </c>
    </row>
    <row r="458" spans="1:4" x14ac:dyDescent="0.25">
      <c r="A458" s="89" t="s">
        <v>690</v>
      </c>
      <c r="B458" s="89" t="s">
        <v>616</v>
      </c>
      <c r="C458" s="89">
        <v>451019</v>
      </c>
      <c r="D458" s="89" t="s">
        <v>666</v>
      </c>
    </row>
    <row r="459" spans="1:4" x14ac:dyDescent="0.25">
      <c r="A459" s="89" t="s">
        <v>690</v>
      </c>
      <c r="B459" s="89" t="s">
        <v>616</v>
      </c>
      <c r="C459" s="89">
        <v>1000522</v>
      </c>
      <c r="D459" s="89" t="s">
        <v>664</v>
      </c>
    </row>
    <row r="460" spans="1:4" x14ac:dyDescent="0.25">
      <c r="A460" s="89" t="s">
        <v>690</v>
      </c>
      <c r="B460" s="89" t="s">
        <v>616</v>
      </c>
      <c r="C460" s="89">
        <v>454144</v>
      </c>
      <c r="D460" s="89" t="s">
        <v>663</v>
      </c>
    </row>
    <row r="461" spans="1:4" x14ac:dyDescent="0.25">
      <c r="A461" s="89" t="s">
        <v>690</v>
      </c>
      <c r="B461" s="89" t="s">
        <v>616</v>
      </c>
      <c r="C461" s="89">
        <v>-49029.63</v>
      </c>
      <c r="D461" s="89" t="s">
        <v>663</v>
      </c>
    </row>
    <row r="462" spans="1:4" x14ac:dyDescent="0.25">
      <c r="A462" s="89" t="s">
        <v>690</v>
      </c>
      <c r="B462" s="89" t="s">
        <v>616</v>
      </c>
      <c r="C462" s="89">
        <v>-41376.01</v>
      </c>
      <c r="D462" s="89" t="s">
        <v>664</v>
      </c>
    </row>
    <row r="463" spans="1:4" x14ac:dyDescent="0.25">
      <c r="A463" s="89" t="s">
        <v>690</v>
      </c>
      <c r="B463" s="89" t="s">
        <v>616</v>
      </c>
      <c r="C463" s="89">
        <v>-21688.560000000001</v>
      </c>
      <c r="D463" s="89" t="s">
        <v>666</v>
      </c>
    </row>
    <row r="464" spans="1:4" x14ac:dyDescent="0.25">
      <c r="A464" s="89" t="s">
        <v>690</v>
      </c>
      <c r="B464" s="89" t="s">
        <v>616</v>
      </c>
      <c r="C464" s="89">
        <v>1750000</v>
      </c>
      <c r="D464" s="89" t="s">
        <v>663</v>
      </c>
    </row>
    <row r="465" spans="1:4" x14ac:dyDescent="0.25">
      <c r="A465" s="89" t="s">
        <v>690</v>
      </c>
      <c r="B465" s="89" t="s">
        <v>616</v>
      </c>
      <c r="C465" s="89">
        <v>250000</v>
      </c>
      <c r="D465" s="89" t="s">
        <v>664</v>
      </c>
    </row>
    <row r="466" spans="1:4" x14ac:dyDescent="0.25">
      <c r="A466" s="89" t="s">
        <v>690</v>
      </c>
      <c r="B466" s="89" t="s">
        <v>616</v>
      </c>
      <c r="C466" s="89">
        <v>2116856</v>
      </c>
      <c r="D466" s="89" t="s">
        <v>664</v>
      </c>
    </row>
    <row r="467" spans="1:4" x14ac:dyDescent="0.25">
      <c r="A467" s="89" t="s">
        <v>690</v>
      </c>
      <c r="B467" s="89" t="s">
        <v>616</v>
      </c>
      <c r="C467" s="89">
        <v>2421988</v>
      </c>
      <c r="D467" s="89" t="s">
        <v>663</v>
      </c>
    </row>
    <row r="468" spans="1:4" x14ac:dyDescent="0.25">
      <c r="A468" s="89" t="s">
        <v>690</v>
      </c>
      <c r="B468" s="89" t="s">
        <v>616</v>
      </c>
      <c r="C468" s="89">
        <v>1078391</v>
      </c>
      <c r="D468" s="89" t="s">
        <v>666</v>
      </c>
    </row>
    <row r="469" spans="1:4" x14ac:dyDescent="0.25">
      <c r="A469" s="89" t="s">
        <v>690</v>
      </c>
      <c r="B469" s="89" t="s">
        <v>616</v>
      </c>
      <c r="C469" s="89">
        <v>1169667</v>
      </c>
      <c r="D469" s="89" t="s">
        <v>663</v>
      </c>
    </row>
    <row r="470" spans="1:4" x14ac:dyDescent="0.25">
      <c r="A470" s="89" t="s">
        <v>690</v>
      </c>
      <c r="B470" s="89" t="s">
        <v>616</v>
      </c>
      <c r="C470" s="89">
        <v>1252249</v>
      </c>
      <c r="D470" s="89" t="s">
        <v>663</v>
      </c>
    </row>
    <row r="471" spans="1:4" x14ac:dyDescent="0.25">
      <c r="A471" s="89" t="s">
        <v>690</v>
      </c>
      <c r="B471" s="89" t="s">
        <v>616</v>
      </c>
      <c r="C471" s="89">
        <v>674447</v>
      </c>
      <c r="D471" s="89" t="s">
        <v>663</v>
      </c>
    </row>
    <row r="472" spans="1:4" x14ac:dyDescent="0.25">
      <c r="A472" s="89" t="s">
        <v>690</v>
      </c>
      <c r="B472" s="89" t="s">
        <v>616</v>
      </c>
      <c r="C472" s="89">
        <v>657685</v>
      </c>
      <c r="D472" s="89" t="s">
        <v>663</v>
      </c>
    </row>
    <row r="473" spans="1:4" x14ac:dyDescent="0.25">
      <c r="A473" s="89" t="s">
        <v>690</v>
      </c>
      <c r="B473" s="89" t="s">
        <v>616</v>
      </c>
      <c r="C473" s="89">
        <v>1838781</v>
      </c>
      <c r="D473" s="89" t="s">
        <v>663</v>
      </c>
    </row>
    <row r="474" spans="1:4" x14ac:dyDescent="0.25">
      <c r="A474" s="89" t="s">
        <v>690</v>
      </c>
      <c r="B474" s="89" t="s">
        <v>616</v>
      </c>
      <c r="C474" s="89">
        <v>362765</v>
      </c>
      <c r="D474" s="89" t="s">
        <v>666</v>
      </c>
    </row>
    <row r="475" spans="1:4" x14ac:dyDescent="0.25">
      <c r="A475" s="89" t="s">
        <v>690</v>
      </c>
      <c r="B475" s="89" t="s">
        <v>616</v>
      </c>
      <c r="C475" s="89">
        <v>603953</v>
      </c>
      <c r="D475" s="89" t="s">
        <v>666</v>
      </c>
    </row>
    <row r="476" spans="1:4" x14ac:dyDescent="0.25">
      <c r="A476" s="89" t="s">
        <v>690</v>
      </c>
      <c r="B476" s="89" t="s">
        <v>616</v>
      </c>
      <c r="C476" s="89">
        <v>1660734</v>
      </c>
      <c r="D476" s="89" t="s">
        <v>663</v>
      </c>
    </row>
    <row r="477" spans="1:4" x14ac:dyDescent="0.25">
      <c r="A477" s="89" t="s">
        <v>690</v>
      </c>
      <c r="B477" s="89" t="s">
        <v>616</v>
      </c>
      <c r="C477" s="89">
        <v>713287</v>
      </c>
      <c r="D477" s="89" t="s">
        <v>664</v>
      </c>
    </row>
    <row r="478" spans="1:4" x14ac:dyDescent="0.25">
      <c r="A478" s="89" t="s">
        <v>690</v>
      </c>
      <c r="B478" s="89" t="s">
        <v>616</v>
      </c>
      <c r="C478" s="89">
        <v>383079</v>
      </c>
      <c r="D478" s="89" t="s">
        <v>666</v>
      </c>
    </row>
    <row r="479" spans="1:4" x14ac:dyDescent="0.25">
      <c r="A479" s="89" t="s">
        <v>690</v>
      </c>
      <c r="B479" s="89" t="s">
        <v>616</v>
      </c>
      <c r="C479" s="89">
        <v>-15866.92</v>
      </c>
      <c r="D479" s="89" t="s">
        <v>663</v>
      </c>
    </row>
    <row r="480" spans="1:4" x14ac:dyDescent="0.25">
      <c r="A480" s="89" t="s">
        <v>690</v>
      </c>
      <c r="B480" s="89" t="s">
        <v>616</v>
      </c>
      <c r="C480" s="89">
        <v>-41953.87</v>
      </c>
      <c r="D480" s="89" t="s">
        <v>664</v>
      </c>
    </row>
    <row r="481" spans="1:4" x14ac:dyDescent="0.25">
      <c r="A481" s="89" t="s">
        <v>690</v>
      </c>
      <c r="B481" s="89" t="s">
        <v>616</v>
      </c>
      <c r="C481" s="89">
        <v>-136488.03</v>
      </c>
      <c r="D481" s="89" t="s">
        <v>666</v>
      </c>
    </row>
    <row r="482" spans="1:4" x14ac:dyDescent="0.25">
      <c r="A482" s="89" t="s">
        <v>690</v>
      </c>
      <c r="B482" s="89" t="s">
        <v>616</v>
      </c>
      <c r="C482" s="89">
        <v>412627</v>
      </c>
      <c r="D482" s="89" t="s">
        <v>666</v>
      </c>
    </row>
    <row r="483" spans="1:4" x14ac:dyDescent="0.25">
      <c r="A483" s="89" t="s">
        <v>690</v>
      </c>
      <c r="B483" s="89" t="s">
        <v>616</v>
      </c>
      <c r="C483" s="89">
        <v>-50807.46</v>
      </c>
      <c r="D483" s="89" t="s">
        <v>664</v>
      </c>
    </row>
    <row r="484" spans="1:4" x14ac:dyDescent="0.25">
      <c r="A484" s="89" t="s">
        <v>690</v>
      </c>
      <c r="B484" s="89" t="s">
        <v>616</v>
      </c>
      <c r="C484" s="89">
        <v>1009463</v>
      </c>
      <c r="D484" s="89" t="s">
        <v>664</v>
      </c>
    </row>
    <row r="485" spans="1:4" x14ac:dyDescent="0.25">
      <c r="A485" s="89" t="s">
        <v>690</v>
      </c>
      <c r="B485" s="89" t="s">
        <v>616</v>
      </c>
      <c r="C485" s="89">
        <v>567260</v>
      </c>
      <c r="D485" s="89" t="s">
        <v>663</v>
      </c>
    </row>
    <row r="486" spans="1:4" x14ac:dyDescent="0.25">
      <c r="A486" s="89" t="s">
        <v>690</v>
      </c>
      <c r="B486" s="89" t="s">
        <v>616</v>
      </c>
      <c r="C486" s="89">
        <v>-164466.48000000001</v>
      </c>
      <c r="D486" s="89" t="s">
        <v>663</v>
      </c>
    </row>
    <row r="487" spans="1:4" x14ac:dyDescent="0.25">
      <c r="A487" s="89" t="s">
        <v>690</v>
      </c>
      <c r="B487" s="89" t="s">
        <v>616</v>
      </c>
      <c r="C487" s="89">
        <v>172354</v>
      </c>
      <c r="D487" s="89" t="s">
        <v>664</v>
      </c>
    </row>
    <row r="488" spans="1:4" x14ac:dyDescent="0.25">
      <c r="A488" s="89" t="s">
        <v>690</v>
      </c>
      <c r="B488" s="89" t="s">
        <v>616</v>
      </c>
      <c r="C488" s="89">
        <v>760314</v>
      </c>
      <c r="D488" s="89" t="s">
        <v>666</v>
      </c>
    </row>
    <row r="489" spans="1:4" x14ac:dyDescent="0.25">
      <c r="A489" s="89" t="s">
        <v>690</v>
      </c>
      <c r="B489" s="89" t="s">
        <v>616</v>
      </c>
      <c r="C489" s="89">
        <v>410473</v>
      </c>
      <c r="D489" s="89" t="s">
        <v>663</v>
      </c>
    </row>
    <row r="490" spans="1:4" x14ac:dyDescent="0.25">
      <c r="A490" s="89" t="s">
        <v>690</v>
      </c>
      <c r="B490" s="89" t="s">
        <v>616</v>
      </c>
      <c r="C490" s="89">
        <v>766393</v>
      </c>
      <c r="D490" s="89" t="s">
        <v>666</v>
      </c>
    </row>
    <row r="491" spans="1:4" x14ac:dyDescent="0.25">
      <c r="A491" s="89" t="s">
        <v>690</v>
      </c>
      <c r="B491" s="89" t="s">
        <v>616</v>
      </c>
      <c r="C491" s="89">
        <v>-3020</v>
      </c>
      <c r="D491" s="89" t="s">
        <v>663</v>
      </c>
    </row>
    <row r="492" spans="1:4" x14ac:dyDescent="0.25">
      <c r="A492" s="89" t="s">
        <v>690</v>
      </c>
      <c r="B492" s="89" t="s">
        <v>616</v>
      </c>
      <c r="C492" s="89">
        <v>-7246.25</v>
      </c>
      <c r="D492" s="89" t="s">
        <v>666</v>
      </c>
    </row>
    <row r="493" spans="1:4" x14ac:dyDescent="0.25">
      <c r="A493" s="89" t="s">
        <v>690</v>
      </c>
      <c r="B493" s="89" t="s">
        <v>616</v>
      </c>
      <c r="C493" s="89">
        <v>621208.75</v>
      </c>
      <c r="D493" s="89" t="s">
        <v>664</v>
      </c>
    </row>
    <row r="494" spans="1:4" x14ac:dyDescent="0.25">
      <c r="A494" s="89" t="s">
        <v>690</v>
      </c>
      <c r="B494" s="89" t="s">
        <v>616</v>
      </c>
      <c r="C494" s="89">
        <v>50000</v>
      </c>
      <c r="D494" s="89" t="s">
        <v>666</v>
      </c>
    </row>
    <row r="495" spans="1:4" x14ac:dyDescent="0.25">
      <c r="A495" s="89" t="s">
        <v>690</v>
      </c>
      <c r="B495" s="89" t="s">
        <v>616</v>
      </c>
      <c r="C495" s="89">
        <v>2043749</v>
      </c>
      <c r="D495" s="89" t="s">
        <v>666</v>
      </c>
    </row>
    <row r="496" spans="1:4" x14ac:dyDescent="0.25">
      <c r="A496" s="89" t="s">
        <v>690</v>
      </c>
      <c r="B496" s="89" t="s">
        <v>616</v>
      </c>
      <c r="C496" s="89">
        <v>1151975.54</v>
      </c>
      <c r="D496" s="89" t="s">
        <v>664</v>
      </c>
    </row>
    <row r="497" spans="1:4" x14ac:dyDescent="0.25">
      <c r="A497" s="89" t="s">
        <v>690</v>
      </c>
      <c r="B497" s="89" t="s">
        <v>616</v>
      </c>
      <c r="C497" s="89">
        <v>515427</v>
      </c>
      <c r="D497" s="89" t="s">
        <v>664</v>
      </c>
    </row>
    <row r="498" spans="1:4" x14ac:dyDescent="0.25">
      <c r="A498" s="89" t="s">
        <v>690</v>
      </c>
      <c r="B498" s="89" t="s">
        <v>616</v>
      </c>
      <c r="C498" s="89">
        <v>1137930</v>
      </c>
      <c r="D498" s="89" t="s">
        <v>663</v>
      </c>
    </row>
    <row r="499" spans="1:4" x14ac:dyDescent="0.25">
      <c r="A499" s="89" t="s">
        <v>690</v>
      </c>
      <c r="B499" s="89" t="s">
        <v>616</v>
      </c>
      <c r="C499" s="89">
        <v>3202749</v>
      </c>
      <c r="D499" s="89" t="s">
        <v>663</v>
      </c>
    </row>
    <row r="500" spans="1:4" x14ac:dyDescent="0.25">
      <c r="A500" s="89" t="s">
        <v>216</v>
      </c>
      <c r="B500" s="89" t="s">
        <v>615</v>
      </c>
      <c r="C500" s="89">
        <v>1795294</v>
      </c>
      <c r="D500" s="89" t="s">
        <v>663</v>
      </c>
    </row>
    <row r="501" spans="1:4" x14ac:dyDescent="0.25">
      <c r="A501" s="89" t="s">
        <v>216</v>
      </c>
      <c r="B501" s="89" t="s">
        <v>615</v>
      </c>
      <c r="C501" s="89">
        <v>1661658</v>
      </c>
      <c r="D501" s="89" t="s">
        <v>663</v>
      </c>
    </row>
    <row r="502" spans="1:4" x14ac:dyDescent="0.25">
      <c r="A502" s="89" t="s">
        <v>216</v>
      </c>
      <c r="B502" s="89" t="s">
        <v>615</v>
      </c>
      <c r="C502" s="89">
        <v>669790</v>
      </c>
      <c r="D502" s="89" t="s">
        <v>666</v>
      </c>
    </row>
    <row r="503" spans="1:4" x14ac:dyDescent="0.25">
      <c r="A503" s="89" t="s">
        <v>216</v>
      </c>
      <c r="B503" s="89" t="s">
        <v>615</v>
      </c>
      <c r="C503" s="89">
        <v>982408</v>
      </c>
      <c r="D503" s="89" t="s">
        <v>666</v>
      </c>
    </row>
    <row r="504" spans="1:4" x14ac:dyDescent="0.25">
      <c r="A504" s="89" t="s">
        <v>216</v>
      </c>
      <c r="B504" s="89" t="s">
        <v>615</v>
      </c>
      <c r="C504" s="89">
        <v>1063288</v>
      </c>
      <c r="D504" s="89" t="s">
        <v>666</v>
      </c>
    </row>
    <row r="505" spans="1:4" x14ac:dyDescent="0.25">
      <c r="A505" s="89" t="s">
        <v>216</v>
      </c>
      <c r="B505" s="89" t="s">
        <v>615</v>
      </c>
      <c r="C505" s="89">
        <v>934834</v>
      </c>
      <c r="D505" s="89" t="s">
        <v>663</v>
      </c>
    </row>
    <row r="506" spans="1:4" x14ac:dyDescent="0.25">
      <c r="A506" s="89" t="s">
        <v>216</v>
      </c>
      <c r="B506" s="89" t="s">
        <v>615</v>
      </c>
      <c r="C506" s="89">
        <v>310027</v>
      </c>
      <c r="D506" s="89" t="s">
        <v>666</v>
      </c>
    </row>
    <row r="507" spans="1:4" x14ac:dyDescent="0.25">
      <c r="A507" s="89" t="s">
        <v>216</v>
      </c>
      <c r="B507" s="89" t="s">
        <v>615</v>
      </c>
      <c r="C507" s="89">
        <v>976383</v>
      </c>
      <c r="D507" s="89" t="s">
        <v>663</v>
      </c>
    </row>
    <row r="508" spans="1:4" x14ac:dyDescent="0.25">
      <c r="A508" s="89" t="s">
        <v>216</v>
      </c>
      <c r="B508" s="89" t="s">
        <v>615</v>
      </c>
      <c r="C508" s="89">
        <v>1305374</v>
      </c>
      <c r="D508" s="89" t="s">
        <v>663</v>
      </c>
    </row>
    <row r="509" spans="1:4" x14ac:dyDescent="0.25">
      <c r="A509" s="89" t="s">
        <v>216</v>
      </c>
      <c r="B509" s="89" t="s">
        <v>615</v>
      </c>
      <c r="C509" s="89">
        <v>713710</v>
      </c>
      <c r="D509" s="89" t="s">
        <v>666</v>
      </c>
    </row>
    <row r="510" spans="1:4" x14ac:dyDescent="0.25">
      <c r="A510" s="89" t="s">
        <v>216</v>
      </c>
      <c r="B510" s="89" t="s">
        <v>615</v>
      </c>
      <c r="C510" s="89">
        <v>363062</v>
      </c>
      <c r="D510" s="89" t="s">
        <v>663</v>
      </c>
    </row>
    <row r="511" spans="1:4" x14ac:dyDescent="0.25">
      <c r="A511" s="89" t="s">
        <v>216</v>
      </c>
      <c r="B511" s="89" t="s">
        <v>615</v>
      </c>
      <c r="C511" s="89">
        <v>1831282</v>
      </c>
      <c r="D511" s="89" t="s">
        <v>663</v>
      </c>
    </row>
    <row r="512" spans="1:4" x14ac:dyDescent="0.25">
      <c r="A512" s="89" t="s">
        <v>216</v>
      </c>
      <c r="B512" s="89" t="s">
        <v>615</v>
      </c>
      <c r="C512" s="89">
        <v>4389664.28</v>
      </c>
      <c r="D512" s="89" t="s">
        <v>663</v>
      </c>
    </row>
    <row r="513" spans="1:4" x14ac:dyDescent="0.25">
      <c r="A513" s="89" t="s">
        <v>216</v>
      </c>
      <c r="B513" s="89" t="s">
        <v>615</v>
      </c>
      <c r="C513" s="89">
        <v>2704090</v>
      </c>
      <c r="D513" s="89" t="s">
        <v>666</v>
      </c>
    </row>
    <row r="514" spans="1:4" x14ac:dyDescent="0.25">
      <c r="A514" s="89" t="s">
        <v>216</v>
      </c>
      <c r="B514" s="89" t="s">
        <v>615</v>
      </c>
      <c r="C514" s="89">
        <v>812189</v>
      </c>
      <c r="D514" s="89" t="s">
        <v>663</v>
      </c>
    </row>
    <row r="515" spans="1:4" x14ac:dyDescent="0.25">
      <c r="A515" s="89" t="s">
        <v>216</v>
      </c>
      <c r="B515" s="89" t="s">
        <v>615</v>
      </c>
      <c r="C515" s="89">
        <v>907551</v>
      </c>
      <c r="D515" s="89" t="s">
        <v>663</v>
      </c>
    </row>
    <row r="516" spans="1:4" x14ac:dyDescent="0.25">
      <c r="A516" s="89" t="s">
        <v>215</v>
      </c>
      <c r="B516" s="89" t="s">
        <v>615</v>
      </c>
      <c r="C516" s="89">
        <v>443342</v>
      </c>
      <c r="D516" s="89" t="s">
        <v>666</v>
      </c>
    </row>
    <row r="517" spans="1:4" x14ac:dyDescent="0.25">
      <c r="A517" s="89" t="s">
        <v>215</v>
      </c>
      <c r="B517" s="89" t="s">
        <v>615</v>
      </c>
      <c r="C517" s="89">
        <v>492199.8</v>
      </c>
      <c r="D517" s="89" t="s">
        <v>666</v>
      </c>
    </row>
    <row r="518" spans="1:4" x14ac:dyDescent="0.25">
      <c r="A518" s="89" t="s">
        <v>215</v>
      </c>
      <c r="B518" s="89" t="s">
        <v>615</v>
      </c>
      <c r="C518" s="89">
        <v>919269.81</v>
      </c>
      <c r="D518" s="89" t="s">
        <v>666</v>
      </c>
    </row>
    <row r="519" spans="1:4" x14ac:dyDescent="0.25">
      <c r="A519" s="89" t="s">
        <v>215</v>
      </c>
      <c r="B519" s="89" t="s">
        <v>615</v>
      </c>
      <c r="C519" s="89">
        <v>25364.66</v>
      </c>
      <c r="D519" s="89" t="s">
        <v>666</v>
      </c>
    </row>
    <row r="520" spans="1:4" x14ac:dyDescent="0.25">
      <c r="A520" s="89" t="s">
        <v>215</v>
      </c>
      <c r="B520" s="89" t="s">
        <v>615</v>
      </c>
      <c r="C520" s="89">
        <v>2797172.97</v>
      </c>
      <c r="D520" s="89" t="s">
        <v>666</v>
      </c>
    </row>
    <row r="521" spans="1:4" x14ac:dyDescent="0.25">
      <c r="A521" s="89" t="s">
        <v>215</v>
      </c>
      <c r="B521" s="89" t="s">
        <v>615</v>
      </c>
      <c r="C521" s="89">
        <v>9019119</v>
      </c>
      <c r="D521" s="89" t="s">
        <v>663</v>
      </c>
    </row>
    <row r="522" spans="1:4" x14ac:dyDescent="0.25">
      <c r="A522" s="89" t="s">
        <v>215</v>
      </c>
      <c r="B522" s="89" t="s">
        <v>615</v>
      </c>
      <c r="C522" s="89">
        <v>458061.02</v>
      </c>
      <c r="D522" s="89" t="s">
        <v>666</v>
      </c>
    </row>
    <row r="523" spans="1:4" x14ac:dyDescent="0.25">
      <c r="A523" s="89" t="s">
        <v>215</v>
      </c>
      <c r="B523" s="89" t="s">
        <v>615</v>
      </c>
      <c r="C523" s="89">
        <v>202544.11</v>
      </c>
      <c r="D523" s="89" t="s">
        <v>666</v>
      </c>
    </row>
    <row r="524" spans="1:4" x14ac:dyDescent="0.25">
      <c r="A524" s="89" t="s">
        <v>215</v>
      </c>
      <c r="B524" s="89" t="s">
        <v>615</v>
      </c>
      <c r="C524" s="89">
        <v>689043</v>
      </c>
      <c r="D524" s="89" t="s">
        <v>666</v>
      </c>
    </row>
    <row r="525" spans="1:4" x14ac:dyDescent="0.25">
      <c r="A525" s="89" t="s">
        <v>213</v>
      </c>
      <c r="B525" s="89" t="s">
        <v>615</v>
      </c>
      <c r="C525" s="89">
        <v>881923</v>
      </c>
      <c r="D525" s="89" t="s">
        <v>666</v>
      </c>
    </row>
    <row r="526" spans="1:4" x14ac:dyDescent="0.25">
      <c r="A526" s="89" t="s">
        <v>213</v>
      </c>
      <c r="B526" s="89" t="s">
        <v>615</v>
      </c>
      <c r="C526" s="89">
        <v>1473806</v>
      </c>
      <c r="D526" s="89" t="s">
        <v>666</v>
      </c>
    </row>
    <row r="527" spans="1:4" x14ac:dyDescent="0.25">
      <c r="A527" s="89" t="s">
        <v>213</v>
      </c>
      <c r="B527" s="89" t="s">
        <v>615</v>
      </c>
      <c r="C527" s="89">
        <v>1390719</v>
      </c>
      <c r="D527" s="89" t="s">
        <v>666</v>
      </c>
    </row>
    <row r="528" spans="1:4" x14ac:dyDescent="0.25">
      <c r="A528" s="89" t="s">
        <v>213</v>
      </c>
      <c r="B528" s="89" t="s">
        <v>615</v>
      </c>
      <c r="C528" s="89">
        <v>2048239.77</v>
      </c>
      <c r="D528" s="89" t="s">
        <v>664</v>
      </c>
    </row>
    <row r="529" spans="1:4" x14ac:dyDescent="0.25">
      <c r="A529" s="89" t="s">
        <v>213</v>
      </c>
      <c r="B529" s="89" t="s">
        <v>615</v>
      </c>
      <c r="C529" s="89">
        <v>2809966.17</v>
      </c>
      <c r="D529" s="89" t="s">
        <v>664</v>
      </c>
    </row>
    <row r="530" spans="1:4" x14ac:dyDescent="0.25">
      <c r="A530" s="89" t="s">
        <v>213</v>
      </c>
      <c r="B530" s="89" t="s">
        <v>615</v>
      </c>
      <c r="C530" s="89">
        <v>2837101</v>
      </c>
      <c r="D530" s="89" t="s">
        <v>666</v>
      </c>
    </row>
    <row r="531" spans="1:4" x14ac:dyDescent="0.25">
      <c r="A531" s="89" t="s">
        <v>213</v>
      </c>
      <c r="B531" s="89" t="s">
        <v>615</v>
      </c>
      <c r="C531" s="89">
        <v>981116</v>
      </c>
      <c r="D531" s="89" t="s">
        <v>666</v>
      </c>
    </row>
    <row r="532" spans="1:4" x14ac:dyDescent="0.25">
      <c r="A532" s="89" t="s">
        <v>213</v>
      </c>
      <c r="B532" s="89" t="s">
        <v>615</v>
      </c>
      <c r="C532" s="89">
        <v>1655991</v>
      </c>
      <c r="D532" s="89" t="s">
        <v>666</v>
      </c>
    </row>
    <row r="533" spans="1:4" x14ac:dyDescent="0.25">
      <c r="A533" s="89" t="s">
        <v>213</v>
      </c>
      <c r="B533" s="89" t="s">
        <v>615</v>
      </c>
      <c r="C533" s="89">
        <v>167492</v>
      </c>
      <c r="D533" s="89" t="s">
        <v>666</v>
      </c>
    </row>
    <row r="534" spans="1:4" x14ac:dyDescent="0.25">
      <c r="A534" s="89" t="s">
        <v>213</v>
      </c>
      <c r="B534" s="89" t="s">
        <v>615</v>
      </c>
      <c r="C534" s="89">
        <v>11857</v>
      </c>
      <c r="D534" s="89" t="s">
        <v>666</v>
      </c>
    </row>
    <row r="535" spans="1:4" x14ac:dyDescent="0.25">
      <c r="A535" s="89" t="s">
        <v>213</v>
      </c>
      <c r="B535" s="89" t="s">
        <v>615</v>
      </c>
      <c r="C535" s="89">
        <v>808171</v>
      </c>
      <c r="D535" s="89" t="s">
        <v>666</v>
      </c>
    </row>
    <row r="536" spans="1:4" x14ac:dyDescent="0.25">
      <c r="A536" s="89" t="s">
        <v>213</v>
      </c>
      <c r="B536" s="89" t="s">
        <v>615</v>
      </c>
      <c r="C536" s="89">
        <v>1238759</v>
      </c>
      <c r="D536" s="89" t="s">
        <v>666</v>
      </c>
    </row>
    <row r="537" spans="1:4" x14ac:dyDescent="0.25">
      <c r="A537" s="89" t="s">
        <v>213</v>
      </c>
      <c r="B537" s="89" t="s">
        <v>615</v>
      </c>
      <c r="C537" s="89">
        <v>168164.25</v>
      </c>
      <c r="D537" s="89" t="s">
        <v>666</v>
      </c>
    </row>
    <row r="538" spans="1:4" x14ac:dyDescent="0.25">
      <c r="A538" s="89" t="s">
        <v>213</v>
      </c>
      <c r="B538" s="89" t="s">
        <v>615</v>
      </c>
      <c r="C538" s="89">
        <v>1467440</v>
      </c>
      <c r="D538" s="89" t="s">
        <v>666</v>
      </c>
    </row>
    <row r="539" spans="1:4" x14ac:dyDescent="0.25">
      <c r="A539" s="89" t="s">
        <v>213</v>
      </c>
      <c r="B539" s="89" t="s">
        <v>615</v>
      </c>
      <c r="C539" s="89">
        <v>3088036.31</v>
      </c>
      <c r="D539" s="89" t="s">
        <v>664</v>
      </c>
    </row>
    <row r="540" spans="1:4" x14ac:dyDescent="0.25">
      <c r="A540" s="89" t="s">
        <v>213</v>
      </c>
      <c r="B540" s="89" t="s">
        <v>615</v>
      </c>
      <c r="C540" s="89">
        <v>569002</v>
      </c>
      <c r="D540" s="89" t="s">
        <v>666</v>
      </c>
    </row>
    <row r="541" spans="1:4" x14ac:dyDescent="0.25">
      <c r="A541" s="89" t="s">
        <v>213</v>
      </c>
      <c r="B541" s="89" t="s">
        <v>615</v>
      </c>
      <c r="C541" s="89">
        <v>2524132</v>
      </c>
      <c r="D541" s="89" t="s">
        <v>666</v>
      </c>
    </row>
    <row r="542" spans="1:4" x14ac:dyDescent="0.25">
      <c r="A542" s="89" t="s">
        <v>213</v>
      </c>
      <c r="B542" s="89" t="s">
        <v>615</v>
      </c>
      <c r="C542" s="89">
        <v>1321157</v>
      </c>
      <c r="D542" s="89" t="s">
        <v>666</v>
      </c>
    </row>
    <row r="543" spans="1:4" x14ac:dyDescent="0.25">
      <c r="A543" s="89" t="s">
        <v>213</v>
      </c>
      <c r="B543" s="89" t="s">
        <v>615</v>
      </c>
      <c r="C543" s="89">
        <v>510374.98</v>
      </c>
      <c r="D543" s="89" t="s">
        <v>664</v>
      </c>
    </row>
    <row r="544" spans="1:4" x14ac:dyDescent="0.25">
      <c r="A544" s="89" t="s">
        <v>213</v>
      </c>
      <c r="B544" s="89" t="s">
        <v>615</v>
      </c>
      <c r="C544" s="89">
        <v>2809790.75</v>
      </c>
      <c r="D544" s="89" t="s">
        <v>664</v>
      </c>
    </row>
    <row r="545" spans="1:4" x14ac:dyDescent="0.25">
      <c r="A545" s="89" t="s">
        <v>213</v>
      </c>
      <c r="B545" s="89" t="s">
        <v>615</v>
      </c>
      <c r="C545" s="89">
        <v>82160</v>
      </c>
      <c r="D545" s="89" t="s">
        <v>666</v>
      </c>
    </row>
    <row r="546" spans="1:4" x14ac:dyDescent="0.25">
      <c r="A546" s="89" t="s">
        <v>213</v>
      </c>
      <c r="B546" s="89" t="s">
        <v>615</v>
      </c>
      <c r="C546" s="89">
        <v>1844280</v>
      </c>
      <c r="D546" s="89" t="s">
        <v>666</v>
      </c>
    </row>
    <row r="547" spans="1:4" x14ac:dyDescent="0.25">
      <c r="A547" s="89" t="s">
        <v>213</v>
      </c>
      <c r="B547" s="89" t="s">
        <v>615</v>
      </c>
      <c r="C547" s="89">
        <v>1743398.27</v>
      </c>
      <c r="D547" s="89" t="s">
        <v>664</v>
      </c>
    </row>
    <row r="548" spans="1:4" x14ac:dyDescent="0.25">
      <c r="A548" s="89" t="s">
        <v>213</v>
      </c>
      <c r="B548" s="89" t="s">
        <v>615</v>
      </c>
      <c r="C548" s="89">
        <v>4999347.5</v>
      </c>
      <c r="D548" s="89" t="s">
        <v>664</v>
      </c>
    </row>
    <row r="549" spans="1:4" x14ac:dyDescent="0.25">
      <c r="A549" s="89" t="s">
        <v>213</v>
      </c>
      <c r="B549" s="89" t="s">
        <v>615</v>
      </c>
      <c r="C549" s="89">
        <v>703208</v>
      </c>
      <c r="D549" s="89" t="s">
        <v>666</v>
      </c>
    </row>
    <row r="550" spans="1:4" x14ac:dyDescent="0.25">
      <c r="A550" s="89" t="s">
        <v>211</v>
      </c>
      <c r="B550" s="89" t="s">
        <v>615</v>
      </c>
      <c r="C550" s="89">
        <v>534663</v>
      </c>
      <c r="D550" s="89" t="s">
        <v>663</v>
      </c>
    </row>
    <row r="551" spans="1:4" x14ac:dyDescent="0.25">
      <c r="A551" s="89" t="s">
        <v>211</v>
      </c>
      <c r="B551" s="89" t="s">
        <v>615</v>
      </c>
      <c r="C551" s="89">
        <v>1928714</v>
      </c>
      <c r="D551" s="89" t="s">
        <v>663</v>
      </c>
    </row>
    <row r="552" spans="1:4" x14ac:dyDescent="0.25">
      <c r="A552" s="89" t="s">
        <v>211</v>
      </c>
      <c r="B552" s="89" t="s">
        <v>615</v>
      </c>
      <c r="C552" s="89">
        <v>2191090</v>
      </c>
      <c r="D552" s="89" t="s">
        <v>663</v>
      </c>
    </row>
    <row r="553" spans="1:4" x14ac:dyDescent="0.25">
      <c r="A553" s="89" t="s">
        <v>211</v>
      </c>
      <c r="B553" s="89" t="s">
        <v>615</v>
      </c>
      <c r="C553" s="89">
        <v>816073</v>
      </c>
      <c r="D553" s="89" t="s">
        <v>663</v>
      </c>
    </row>
    <row r="554" spans="1:4" x14ac:dyDescent="0.25">
      <c r="A554" s="89" t="s">
        <v>211</v>
      </c>
      <c r="B554" s="89" t="s">
        <v>615</v>
      </c>
      <c r="C554" s="89">
        <v>2285854</v>
      </c>
      <c r="D554" s="89" t="s">
        <v>663</v>
      </c>
    </row>
    <row r="555" spans="1:4" x14ac:dyDescent="0.25">
      <c r="A555" s="89" t="s">
        <v>211</v>
      </c>
      <c r="B555" s="89" t="s">
        <v>615</v>
      </c>
      <c r="C555" s="89">
        <v>1100840</v>
      </c>
      <c r="D555" s="89" t="s">
        <v>663</v>
      </c>
    </row>
    <row r="556" spans="1:4" x14ac:dyDescent="0.25">
      <c r="A556" s="89" t="s">
        <v>211</v>
      </c>
      <c r="B556" s="89" t="s">
        <v>615</v>
      </c>
      <c r="C556" s="89">
        <v>1356000</v>
      </c>
      <c r="D556" s="89" t="s">
        <v>663</v>
      </c>
    </row>
    <row r="557" spans="1:4" x14ac:dyDescent="0.25">
      <c r="A557" s="89" t="s">
        <v>211</v>
      </c>
      <c r="B557" s="89" t="s">
        <v>615</v>
      </c>
      <c r="C557" s="89">
        <v>1649274.6</v>
      </c>
      <c r="D557" s="89" t="s">
        <v>663</v>
      </c>
    </row>
    <row r="558" spans="1:4" x14ac:dyDescent="0.25">
      <c r="A558" s="89" t="s">
        <v>211</v>
      </c>
      <c r="B558" s="89" t="s">
        <v>615</v>
      </c>
      <c r="C558" s="89">
        <v>820995</v>
      </c>
      <c r="D558" s="89" t="s">
        <v>663</v>
      </c>
    </row>
    <row r="559" spans="1:4" x14ac:dyDescent="0.25">
      <c r="A559" s="89" t="s">
        <v>211</v>
      </c>
      <c r="B559" s="89" t="s">
        <v>615</v>
      </c>
      <c r="C559" s="89">
        <v>2681088.64</v>
      </c>
      <c r="D559" s="89" t="s">
        <v>666</v>
      </c>
    </row>
    <row r="560" spans="1:4" x14ac:dyDescent="0.25">
      <c r="A560" s="89" t="s">
        <v>211</v>
      </c>
      <c r="B560" s="89" t="s">
        <v>615</v>
      </c>
      <c r="C560" s="89">
        <v>2155562.58</v>
      </c>
      <c r="D560" s="89" t="s">
        <v>666</v>
      </c>
    </row>
    <row r="561" spans="1:4" x14ac:dyDescent="0.25">
      <c r="A561" s="89" t="s">
        <v>211</v>
      </c>
      <c r="B561" s="89" t="s">
        <v>615</v>
      </c>
      <c r="C561" s="89">
        <v>3220405.37</v>
      </c>
      <c r="D561" s="89" t="s">
        <v>666</v>
      </c>
    </row>
    <row r="562" spans="1:4" x14ac:dyDescent="0.25">
      <c r="A562" s="89" t="s">
        <v>211</v>
      </c>
      <c r="B562" s="89" t="s">
        <v>615</v>
      </c>
      <c r="C562" s="89">
        <v>4183107.64</v>
      </c>
      <c r="D562" s="89" t="s">
        <v>663</v>
      </c>
    </row>
    <row r="563" spans="1:4" x14ac:dyDescent="0.25">
      <c r="A563" s="89" t="s">
        <v>211</v>
      </c>
      <c r="B563" s="89" t="s">
        <v>615</v>
      </c>
      <c r="C563" s="89">
        <v>2105041.15</v>
      </c>
      <c r="D563" s="89" t="s">
        <v>666</v>
      </c>
    </row>
    <row r="564" spans="1:4" x14ac:dyDescent="0.25">
      <c r="A564" s="89" t="s">
        <v>211</v>
      </c>
      <c r="B564" s="89" t="s">
        <v>615</v>
      </c>
      <c r="C564" s="89">
        <v>50000</v>
      </c>
      <c r="D564" s="89" t="s">
        <v>666</v>
      </c>
    </row>
    <row r="565" spans="1:4" x14ac:dyDescent="0.25">
      <c r="A565" s="89" t="s">
        <v>211</v>
      </c>
      <c r="B565" s="89" t="s">
        <v>615</v>
      </c>
      <c r="C565" s="89">
        <v>3760581.24</v>
      </c>
      <c r="D565" s="89" t="s">
        <v>666</v>
      </c>
    </row>
    <row r="566" spans="1:4" x14ac:dyDescent="0.25">
      <c r="A566" s="89" t="s">
        <v>211</v>
      </c>
      <c r="B566" s="89" t="s">
        <v>615</v>
      </c>
      <c r="C566" s="89">
        <v>625183</v>
      </c>
      <c r="D566" s="89" t="s">
        <v>663</v>
      </c>
    </row>
    <row r="567" spans="1:4" x14ac:dyDescent="0.25">
      <c r="A567" s="89" t="s">
        <v>211</v>
      </c>
      <c r="B567" s="89" t="s">
        <v>615</v>
      </c>
      <c r="C567" s="89">
        <v>500000</v>
      </c>
      <c r="D567" s="89" t="s">
        <v>663</v>
      </c>
    </row>
    <row r="568" spans="1:4" x14ac:dyDescent="0.25">
      <c r="A568" s="89" t="s">
        <v>211</v>
      </c>
      <c r="B568" s="89" t="s">
        <v>615</v>
      </c>
      <c r="C568" s="89">
        <v>476070</v>
      </c>
      <c r="D568" s="89" t="s">
        <v>663</v>
      </c>
    </row>
    <row r="569" spans="1:4" x14ac:dyDescent="0.25">
      <c r="A569" s="89" t="s">
        <v>211</v>
      </c>
      <c r="B569" s="89" t="s">
        <v>615</v>
      </c>
      <c r="C569" s="89">
        <v>4800285.97</v>
      </c>
      <c r="D569" s="89" t="s">
        <v>663</v>
      </c>
    </row>
    <row r="570" spans="1:4" x14ac:dyDescent="0.25">
      <c r="A570" s="89" t="s">
        <v>211</v>
      </c>
      <c r="B570" s="89" t="s">
        <v>615</v>
      </c>
      <c r="C570" s="89">
        <v>1112400</v>
      </c>
      <c r="D570" s="89" t="s">
        <v>663</v>
      </c>
    </row>
    <row r="571" spans="1:4" x14ac:dyDescent="0.25">
      <c r="A571" s="89" t="s">
        <v>211</v>
      </c>
      <c r="B571" s="89" t="s">
        <v>615</v>
      </c>
      <c r="C571" s="89">
        <v>1964000</v>
      </c>
      <c r="D571" s="89" t="s">
        <v>663</v>
      </c>
    </row>
    <row r="572" spans="1:4" x14ac:dyDescent="0.25">
      <c r="A572" s="89" t="s">
        <v>211</v>
      </c>
      <c r="B572" s="89" t="s">
        <v>615</v>
      </c>
      <c r="C572" s="89">
        <v>50000</v>
      </c>
      <c r="D572" s="89" t="s">
        <v>666</v>
      </c>
    </row>
    <row r="573" spans="1:4" x14ac:dyDescent="0.25">
      <c r="A573" s="89" t="s">
        <v>211</v>
      </c>
      <c r="B573" s="89" t="s">
        <v>615</v>
      </c>
      <c r="C573" s="89">
        <v>1307169.73</v>
      </c>
      <c r="D573" s="89" t="s">
        <v>666</v>
      </c>
    </row>
    <row r="574" spans="1:4" x14ac:dyDescent="0.25">
      <c r="A574" s="89" t="s">
        <v>211</v>
      </c>
      <c r="B574" s="89" t="s">
        <v>615</v>
      </c>
      <c r="C574" s="89">
        <v>699814.5</v>
      </c>
      <c r="D574" s="89" t="s">
        <v>666</v>
      </c>
    </row>
    <row r="575" spans="1:4" x14ac:dyDescent="0.25">
      <c r="A575" s="89" t="s">
        <v>211</v>
      </c>
      <c r="B575" s="89" t="s">
        <v>615</v>
      </c>
      <c r="C575" s="89">
        <v>2173625.7599999998</v>
      </c>
      <c r="D575" s="89" t="s">
        <v>663</v>
      </c>
    </row>
    <row r="576" spans="1:4" x14ac:dyDescent="0.25">
      <c r="A576" s="89" t="s">
        <v>211</v>
      </c>
      <c r="B576" s="89" t="s">
        <v>615</v>
      </c>
      <c r="C576" s="89">
        <v>1160287.68</v>
      </c>
      <c r="D576" s="89" t="s">
        <v>666</v>
      </c>
    </row>
    <row r="577" spans="1:4" x14ac:dyDescent="0.25">
      <c r="A577" s="89" t="s">
        <v>211</v>
      </c>
      <c r="B577" s="89" t="s">
        <v>615</v>
      </c>
      <c r="C577" s="89">
        <v>4685740.0999999996</v>
      </c>
      <c r="D577" s="89" t="s">
        <v>663</v>
      </c>
    </row>
    <row r="578" spans="1:4" x14ac:dyDescent="0.25">
      <c r="A578" s="89" t="s">
        <v>103</v>
      </c>
      <c r="B578" s="89" t="s">
        <v>617</v>
      </c>
      <c r="C578" s="89">
        <v>2030752</v>
      </c>
      <c r="D578" s="89" t="s">
        <v>664</v>
      </c>
    </row>
    <row r="579" spans="1:4" x14ac:dyDescent="0.25">
      <c r="A579" s="89" t="s">
        <v>103</v>
      </c>
      <c r="B579" s="89" t="s">
        <v>617</v>
      </c>
      <c r="C579" s="89">
        <v>827051</v>
      </c>
      <c r="D579" s="89" t="s">
        <v>666</v>
      </c>
    </row>
    <row r="580" spans="1:4" x14ac:dyDescent="0.25">
      <c r="A580" s="89" t="s">
        <v>103</v>
      </c>
      <c r="B580" s="89" t="s">
        <v>617</v>
      </c>
      <c r="C580" s="89">
        <v>857755.5</v>
      </c>
      <c r="D580" s="89" t="s">
        <v>663</v>
      </c>
    </row>
    <row r="581" spans="1:4" x14ac:dyDescent="0.25">
      <c r="A581" s="89" t="s">
        <v>103</v>
      </c>
      <c r="B581" s="89" t="s">
        <v>617</v>
      </c>
      <c r="C581" s="89">
        <v>2162806</v>
      </c>
      <c r="D581" s="89" t="s">
        <v>664</v>
      </c>
    </row>
    <row r="582" spans="1:4" x14ac:dyDescent="0.25">
      <c r="A582" s="89" t="s">
        <v>103</v>
      </c>
      <c r="B582" s="89" t="s">
        <v>617</v>
      </c>
      <c r="C582" s="89">
        <v>2162772</v>
      </c>
      <c r="D582" s="89" t="s">
        <v>663</v>
      </c>
    </row>
    <row r="583" spans="1:4" x14ac:dyDescent="0.25">
      <c r="A583" s="89" t="s">
        <v>103</v>
      </c>
      <c r="B583" s="89" t="s">
        <v>617</v>
      </c>
      <c r="C583" s="89">
        <v>1266991</v>
      </c>
      <c r="D583" s="89" t="s">
        <v>666</v>
      </c>
    </row>
    <row r="584" spans="1:4" x14ac:dyDescent="0.25">
      <c r="A584" s="89" t="s">
        <v>103</v>
      </c>
      <c r="B584" s="89" t="s">
        <v>617</v>
      </c>
      <c r="C584" s="89">
        <v>1154221</v>
      </c>
      <c r="D584" s="89" t="s">
        <v>666</v>
      </c>
    </row>
    <row r="585" spans="1:4" x14ac:dyDescent="0.25">
      <c r="A585" s="89" t="s">
        <v>103</v>
      </c>
      <c r="B585" s="89" t="s">
        <v>617</v>
      </c>
      <c r="C585" s="89">
        <v>430699</v>
      </c>
      <c r="D585" s="89" t="s">
        <v>663</v>
      </c>
    </row>
    <row r="586" spans="1:4" x14ac:dyDescent="0.25">
      <c r="A586" s="89" t="s">
        <v>103</v>
      </c>
      <c r="B586" s="89" t="s">
        <v>617</v>
      </c>
      <c r="C586" s="89">
        <v>448995</v>
      </c>
      <c r="D586" s="89" t="s">
        <v>666</v>
      </c>
    </row>
    <row r="587" spans="1:4" x14ac:dyDescent="0.25">
      <c r="A587" s="89" t="s">
        <v>103</v>
      </c>
      <c r="B587" s="89" t="s">
        <v>617</v>
      </c>
      <c r="C587" s="89">
        <v>691430</v>
      </c>
      <c r="D587" s="89" t="s">
        <v>663</v>
      </c>
    </row>
    <row r="588" spans="1:4" x14ac:dyDescent="0.25">
      <c r="A588" s="89" t="s">
        <v>103</v>
      </c>
      <c r="B588" s="89" t="s">
        <v>617</v>
      </c>
      <c r="C588" s="89">
        <v>1297361</v>
      </c>
      <c r="D588" s="89" t="s">
        <v>663</v>
      </c>
    </row>
    <row r="589" spans="1:4" x14ac:dyDescent="0.25">
      <c r="A589" s="89" t="s">
        <v>103</v>
      </c>
      <c r="B589" s="89" t="s">
        <v>617</v>
      </c>
      <c r="C589" s="89">
        <v>950574</v>
      </c>
      <c r="D589" s="89" t="s">
        <v>663</v>
      </c>
    </row>
    <row r="590" spans="1:4" x14ac:dyDescent="0.25">
      <c r="A590" s="89" t="s">
        <v>103</v>
      </c>
      <c r="B590" s="89" t="s">
        <v>617</v>
      </c>
      <c r="C590" s="89">
        <v>587945</v>
      </c>
      <c r="D590" s="89" t="s">
        <v>663</v>
      </c>
    </row>
    <row r="591" spans="1:4" x14ac:dyDescent="0.25">
      <c r="A591" s="89" t="s">
        <v>103</v>
      </c>
      <c r="B591" s="89" t="s">
        <v>617</v>
      </c>
      <c r="C591" s="89">
        <v>1884002.78</v>
      </c>
      <c r="D591" s="89" t="s">
        <v>666</v>
      </c>
    </row>
    <row r="592" spans="1:4" x14ac:dyDescent="0.25">
      <c r="A592" s="89" t="s">
        <v>103</v>
      </c>
      <c r="B592" s="89" t="s">
        <v>617</v>
      </c>
      <c r="C592" s="89">
        <v>544499</v>
      </c>
      <c r="D592" s="89" t="s">
        <v>666</v>
      </c>
    </row>
    <row r="593" spans="1:4" x14ac:dyDescent="0.25">
      <c r="A593" s="89" t="s">
        <v>103</v>
      </c>
      <c r="B593" s="89" t="s">
        <v>617</v>
      </c>
      <c r="C593" s="89">
        <v>7595194.2699999996</v>
      </c>
      <c r="D593" s="89" t="s">
        <v>663</v>
      </c>
    </row>
    <row r="594" spans="1:4" x14ac:dyDescent="0.25">
      <c r="A594" s="89" t="s">
        <v>103</v>
      </c>
      <c r="B594" s="89" t="s">
        <v>617</v>
      </c>
      <c r="C594" s="89">
        <v>513513.47</v>
      </c>
      <c r="D594" s="89" t="s">
        <v>664</v>
      </c>
    </row>
    <row r="595" spans="1:4" x14ac:dyDescent="0.25">
      <c r="A595" s="89" t="s">
        <v>103</v>
      </c>
      <c r="B595" s="89" t="s">
        <v>617</v>
      </c>
      <c r="C595" s="89">
        <v>374626</v>
      </c>
      <c r="D595" s="89" t="s">
        <v>666</v>
      </c>
    </row>
    <row r="596" spans="1:4" x14ac:dyDescent="0.25">
      <c r="A596" s="89" t="s">
        <v>103</v>
      </c>
      <c r="B596" s="89" t="s">
        <v>617</v>
      </c>
      <c r="C596" s="89">
        <v>-248483.83</v>
      </c>
      <c r="D596" s="89" t="s">
        <v>663</v>
      </c>
    </row>
    <row r="597" spans="1:4" x14ac:dyDescent="0.25">
      <c r="A597" s="89" t="s">
        <v>103</v>
      </c>
      <c r="B597" s="89" t="s">
        <v>617</v>
      </c>
      <c r="C597" s="89">
        <v>-306579.24</v>
      </c>
      <c r="D597" s="89" t="s">
        <v>664</v>
      </c>
    </row>
    <row r="598" spans="1:4" x14ac:dyDescent="0.25">
      <c r="A598" s="89" t="s">
        <v>103</v>
      </c>
      <c r="B598" s="89" t="s">
        <v>617</v>
      </c>
      <c r="C598" s="89">
        <v>186745.97</v>
      </c>
      <c r="D598" s="89" t="s">
        <v>663</v>
      </c>
    </row>
    <row r="599" spans="1:4" x14ac:dyDescent="0.25">
      <c r="A599" s="89" t="s">
        <v>103</v>
      </c>
      <c r="B599" s="89" t="s">
        <v>617</v>
      </c>
      <c r="C599" s="89">
        <v>-107001.39</v>
      </c>
      <c r="D599" s="89" t="s">
        <v>666</v>
      </c>
    </row>
    <row r="600" spans="1:4" x14ac:dyDescent="0.25">
      <c r="A600" s="89" t="s">
        <v>103</v>
      </c>
      <c r="B600" s="89" t="s">
        <v>617</v>
      </c>
      <c r="C600" s="89">
        <v>-124497.1</v>
      </c>
      <c r="D600" s="89" t="s">
        <v>663</v>
      </c>
    </row>
    <row r="601" spans="1:4" x14ac:dyDescent="0.25">
      <c r="A601" s="89" t="s">
        <v>103</v>
      </c>
      <c r="B601" s="89" t="s">
        <v>617</v>
      </c>
      <c r="C601" s="89">
        <v>1458577.86</v>
      </c>
      <c r="D601" s="89" t="s">
        <v>664</v>
      </c>
    </row>
    <row r="602" spans="1:4" x14ac:dyDescent="0.25">
      <c r="A602" s="89" t="s">
        <v>103</v>
      </c>
      <c r="B602" s="89" t="s">
        <v>617</v>
      </c>
      <c r="C602" s="89">
        <v>3329347.43</v>
      </c>
      <c r="D602" s="89" t="s">
        <v>663</v>
      </c>
    </row>
    <row r="603" spans="1:4" x14ac:dyDescent="0.25">
      <c r="A603" s="89" t="s">
        <v>103</v>
      </c>
      <c r="B603" s="89" t="s">
        <v>617</v>
      </c>
      <c r="C603" s="89">
        <v>50000</v>
      </c>
      <c r="D603" s="89" t="s">
        <v>666</v>
      </c>
    </row>
    <row r="604" spans="1:4" x14ac:dyDescent="0.25">
      <c r="A604" s="89" t="s">
        <v>103</v>
      </c>
      <c r="B604" s="89" t="s">
        <v>617</v>
      </c>
      <c r="C604" s="89">
        <v>1096513.8700000001</v>
      </c>
      <c r="D604" s="89" t="s">
        <v>666</v>
      </c>
    </row>
    <row r="605" spans="1:4" x14ac:dyDescent="0.25">
      <c r="A605" s="89" t="s">
        <v>103</v>
      </c>
      <c r="B605" s="89" t="s">
        <v>617</v>
      </c>
      <c r="C605" s="89">
        <v>1844535.17</v>
      </c>
      <c r="D605" s="89" t="s">
        <v>663</v>
      </c>
    </row>
    <row r="606" spans="1:4" x14ac:dyDescent="0.25">
      <c r="A606" s="89" t="s">
        <v>103</v>
      </c>
      <c r="B606" s="89" t="s">
        <v>617</v>
      </c>
      <c r="C606" s="89">
        <v>4394291.4400000004</v>
      </c>
      <c r="D606" s="89" t="s">
        <v>664</v>
      </c>
    </row>
    <row r="607" spans="1:4" x14ac:dyDescent="0.25">
      <c r="A607" s="89" t="s">
        <v>103</v>
      </c>
      <c r="B607" s="89" t="s">
        <v>617</v>
      </c>
      <c r="C607" s="89">
        <v>885071.24</v>
      </c>
      <c r="D607" s="89" t="s">
        <v>664</v>
      </c>
    </row>
    <row r="608" spans="1:4" x14ac:dyDescent="0.25">
      <c r="A608" s="89" t="s">
        <v>103</v>
      </c>
      <c r="B608" s="89" t="s">
        <v>617</v>
      </c>
      <c r="C608" s="89">
        <v>3769891.66</v>
      </c>
      <c r="D608" s="89" t="s">
        <v>664</v>
      </c>
    </row>
    <row r="609" spans="1:4" x14ac:dyDescent="0.25">
      <c r="A609" s="89" t="s">
        <v>103</v>
      </c>
      <c r="B609" s="89" t="s">
        <v>617</v>
      </c>
      <c r="C609" s="89">
        <v>3696611.54</v>
      </c>
      <c r="D609" s="89" t="s">
        <v>666</v>
      </c>
    </row>
    <row r="610" spans="1:4" x14ac:dyDescent="0.25">
      <c r="A610" s="89" t="s">
        <v>103</v>
      </c>
      <c r="B610" s="89" t="s">
        <v>617</v>
      </c>
      <c r="C610" s="89">
        <v>869072.92</v>
      </c>
      <c r="D610" s="89" t="s">
        <v>664</v>
      </c>
    </row>
    <row r="611" spans="1:4" x14ac:dyDescent="0.25">
      <c r="A611" s="89" t="s">
        <v>103</v>
      </c>
      <c r="B611" s="89" t="s">
        <v>617</v>
      </c>
      <c r="C611" s="89">
        <v>2081548.78</v>
      </c>
      <c r="D611" s="89" t="s">
        <v>666</v>
      </c>
    </row>
    <row r="612" spans="1:4" x14ac:dyDescent="0.25">
      <c r="A612" s="89" t="s">
        <v>103</v>
      </c>
      <c r="B612" s="89" t="s">
        <v>617</v>
      </c>
      <c r="C612" s="89">
        <v>4884759.25</v>
      </c>
      <c r="D612" s="89" t="s">
        <v>663</v>
      </c>
    </row>
    <row r="613" spans="1:4" x14ac:dyDescent="0.25">
      <c r="A613" s="89" t="s">
        <v>103</v>
      </c>
      <c r="B613" s="89" t="s">
        <v>617</v>
      </c>
      <c r="C613" s="89">
        <v>1039041.53</v>
      </c>
      <c r="D613" s="89" t="s">
        <v>664</v>
      </c>
    </row>
    <row r="614" spans="1:4" x14ac:dyDescent="0.25">
      <c r="A614" s="89" t="s">
        <v>103</v>
      </c>
      <c r="B614" s="89" t="s">
        <v>617</v>
      </c>
      <c r="C614" s="89">
        <v>5309835.8499999996</v>
      </c>
      <c r="D614" s="89" t="s">
        <v>664</v>
      </c>
    </row>
    <row r="615" spans="1:4" x14ac:dyDescent="0.25">
      <c r="A615" s="89" t="s">
        <v>103</v>
      </c>
      <c r="B615" s="89" t="s">
        <v>617</v>
      </c>
      <c r="C615" s="89">
        <v>627513</v>
      </c>
      <c r="D615" s="89" t="s">
        <v>664</v>
      </c>
    </row>
    <row r="616" spans="1:4" x14ac:dyDescent="0.25">
      <c r="A616" s="89" t="s">
        <v>103</v>
      </c>
      <c r="B616" s="89" t="s">
        <v>617</v>
      </c>
      <c r="C616" s="89">
        <v>667300</v>
      </c>
      <c r="D616" s="89" t="s">
        <v>663</v>
      </c>
    </row>
    <row r="617" spans="1:4" x14ac:dyDescent="0.25">
      <c r="A617" s="89" t="s">
        <v>103</v>
      </c>
      <c r="B617" s="89" t="s">
        <v>617</v>
      </c>
      <c r="C617" s="89">
        <v>2298000</v>
      </c>
      <c r="D617" s="89" t="s">
        <v>664</v>
      </c>
    </row>
    <row r="618" spans="1:4" x14ac:dyDescent="0.25">
      <c r="A618" s="89" t="s">
        <v>103</v>
      </c>
      <c r="B618" s="89" t="s">
        <v>617</v>
      </c>
      <c r="C618" s="89">
        <v>1335637</v>
      </c>
      <c r="D618" s="89" t="s">
        <v>663</v>
      </c>
    </row>
    <row r="619" spans="1:4" x14ac:dyDescent="0.25">
      <c r="A619" s="89" t="s">
        <v>103</v>
      </c>
      <c r="B619" s="89" t="s">
        <v>617</v>
      </c>
      <c r="C619" s="89">
        <v>574429</v>
      </c>
      <c r="D619" s="89" t="s">
        <v>663</v>
      </c>
    </row>
    <row r="620" spans="1:4" x14ac:dyDescent="0.25">
      <c r="A620" s="89" t="s">
        <v>103</v>
      </c>
      <c r="B620" s="89" t="s">
        <v>617</v>
      </c>
      <c r="C620" s="89">
        <v>643965</v>
      </c>
      <c r="D620" s="89" t="s">
        <v>663</v>
      </c>
    </row>
    <row r="621" spans="1:4" x14ac:dyDescent="0.25">
      <c r="A621" s="89" t="s">
        <v>103</v>
      </c>
      <c r="B621" s="89" t="s">
        <v>617</v>
      </c>
      <c r="C621" s="89">
        <v>1902357</v>
      </c>
      <c r="D621" s="89" t="s">
        <v>666</v>
      </c>
    </row>
    <row r="622" spans="1:4" x14ac:dyDescent="0.25">
      <c r="A622" s="89" t="s">
        <v>103</v>
      </c>
      <c r="B622" s="89" t="s">
        <v>617</v>
      </c>
      <c r="C622" s="89">
        <v>218699</v>
      </c>
      <c r="D622" s="89" t="s">
        <v>663</v>
      </c>
    </row>
    <row r="623" spans="1:4" x14ac:dyDescent="0.25">
      <c r="A623" s="89" t="s">
        <v>103</v>
      </c>
      <c r="B623" s="89" t="s">
        <v>617</v>
      </c>
      <c r="C623" s="89">
        <v>6568445.0599999996</v>
      </c>
      <c r="D623" s="89" t="s">
        <v>663</v>
      </c>
    </row>
    <row r="624" spans="1:4" x14ac:dyDescent="0.25">
      <c r="A624" s="89" t="s">
        <v>103</v>
      </c>
      <c r="B624" s="89" t="s">
        <v>617</v>
      </c>
      <c r="C624" s="89">
        <v>1635076.89</v>
      </c>
      <c r="D624" s="89" t="s">
        <v>666</v>
      </c>
    </row>
    <row r="625" spans="1:4" x14ac:dyDescent="0.25">
      <c r="A625" s="89" t="s">
        <v>103</v>
      </c>
      <c r="B625" s="89" t="s">
        <v>617</v>
      </c>
      <c r="C625" s="89">
        <v>668747</v>
      </c>
      <c r="D625" s="89" t="s">
        <v>663</v>
      </c>
    </row>
    <row r="626" spans="1:4" x14ac:dyDescent="0.25">
      <c r="A626" s="89" t="s">
        <v>103</v>
      </c>
      <c r="B626" s="89" t="s">
        <v>617</v>
      </c>
      <c r="C626" s="89">
        <v>1521801.26</v>
      </c>
      <c r="D626" s="89" t="s">
        <v>664</v>
      </c>
    </row>
    <row r="627" spans="1:4" x14ac:dyDescent="0.25">
      <c r="A627" s="89" t="s">
        <v>103</v>
      </c>
      <c r="B627" s="89" t="s">
        <v>617</v>
      </c>
      <c r="C627" s="89">
        <v>7283871.5800000001</v>
      </c>
      <c r="D627" s="89" t="s">
        <v>664</v>
      </c>
    </row>
    <row r="628" spans="1:4" x14ac:dyDescent="0.25">
      <c r="A628" s="89" t="s">
        <v>103</v>
      </c>
      <c r="B628" s="89" t="s">
        <v>617</v>
      </c>
      <c r="C628" s="89">
        <v>1205254</v>
      </c>
      <c r="D628" s="89" t="s">
        <v>666</v>
      </c>
    </row>
    <row r="629" spans="1:4" x14ac:dyDescent="0.25">
      <c r="A629" s="89" t="s">
        <v>103</v>
      </c>
      <c r="B629" s="89" t="s">
        <v>617</v>
      </c>
      <c r="C629" s="89">
        <v>5936864.5700000003</v>
      </c>
      <c r="D629" s="89" t="s">
        <v>663</v>
      </c>
    </row>
    <row r="630" spans="1:4" x14ac:dyDescent="0.25">
      <c r="A630" s="89" t="s">
        <v>103</v>
      </c>
      <c r="B630" s="89" t="s">
        <v>617</v>
      </c>
      <c r="C630" s="89">
        <v>50000</v>
      </c>
      <c r="D630" s="89" t="s">
        <v>666</v>
      </c>
    </row>
    <row r="631" spans="1:4" x14ac:dyDescent="0.25">
      <c r="A631" s="89" t="s">
        <v>103</v>
      </c>
      <c r="B631" s="89" t="s">
        <v>617</v>
      </c>
      <c r="C631" s="89">
        <v>4407433.3099999996</v>
      </c>
      <c r="D631" s="89" t="s">
        <v>664</v>
      </c>
    </row>
    <row r="632" spans="1:4" x14ac:dyDescent="0.25">
      <c r="A632" s="89" t="s">
        <v>103</v>
      </c>
      <c r="B632" s="89" t="s">
        <v>617</v>
      </c>
      <c r="C632" s="89">
        <v>1048655</v>
      </c>
      <c r="D632" s="89" t="s">
        <v>666</v>
      </c>
    </row>
    <row r="633" spans="1:4" x14ac:dyDescent="0.25">
      <c r="A633" s="89" t="s">
        <v>103</v>
      </c>
      <c r="B633" s="89" t="s">
        <v>617</v>
      </c>
      <c r="C633" s="89">
        <v>715731</v>
      </c>
      <c r="D633" s="89" t="s">
        <v>666</v>
      </c>
    </row>
    <row r="634" spans="1:4" x14ac:dyDescent="0.25">
      <c r="A634" s="89" t="s">
        <v>103</v>
      </c>
      <c r="B634" s="89" t="s">
        <v>617</v>
      </c>
      <c r="C634" s="89">
        <v>1637701</v>
      </c>
      <c r="D634" s="89" t="s">
        <v>663</v>
      </c>
    </row>
    <row r="635" spans="1:4" x14ac:dyDescent="0.25">
      <c r="A635" s="89" t="s">
        <v>103</v>
      </c>
      <c r="B635" s="89" t="s">
        <v>617</v>
      </c>
      <c r="C635" s="89">
        <v>1800000</v>
      </c>
      <c r="D635" s="89" t="s">
        <v>663</v>
      </c>
    </row>
    <row r="636" spans="1:4" x14ac:dyDescent="0.25">
      <c r="A636" s="89" t="s">
        <v>103</v>
      </c>
      <c r="B636" s="89" t="s">
        <v>617</v>
      </c>
      <c r="C636" s="89">
        <v>4792511.91</v>
      </c>
      <c r="D636" s="89" t="s">
        <v>663</v>
      </c>
    </row>
    <row r="637" spans="1:4" x14ac:dyDescent="0.25">
      <c r="A637" s="89" t="s">
        <v>103</v>
      </c>
      <c r="B637" s="89" t="s">
        <v>617</v>
      </c>
      <c r="C637" s="89">
        <v>691350.62</v>
      </c>
      <c r="D637" s="89" t="s">
        <v>664</v>
      </c>
    </row>
    <row r="638" spans="1:4" x14ac:dyDescent="0.25">
      <c r="A638" s="89" t="s">
        <v>103</v>
      </c>
      <c r="B638" s="89" t="s">
        <v>617</v>
      </c>
      <c r="C638" s="89">
        <v>678082.56000000006</v>
      </c>
      <c r="D638" s="89" t="s">
        <v>666</v>
      </c>
    </row>
    <row r="639" spans="1:4" x14ac:dyDescent="0.25">
      <c r="A639" s="89" t="s">
        <v>103</v>
      </c>
      <c r="B639" s="89" t="s">
        <v>617</v>
      </c>
      <c r="C639" s="89">
        <v>6562358.7300000004</v>
      </c>
      <c r="D639" s="89" t="s">
        <v>664</v>
      </c>
    </row>
    <row r="640" spans="1:4" x14ac:dyDescent="0.25">
      <c r="A640" s="89" t="s">
        <v>103</v>
      </c>
      <c r="B640" s="89" t="s">
        <v>617</v>
      </c>
      <c r="C640" s="89">
        <v>655784.75</v>
      </c>
      <c r="D640" s="89" t="s">
        <v>666</v>
      </c>
    </row>
    <row r="641" spans="1:4" x14ac:dyDescent="0.25">
      <c r="A641" s="89" t="s">
        <v>103</v>
      </c>
      <c r="B641" s="89" t="s">
        <v>617</v>
      </c>
      <c r="C641" s="89">
        <v>10204371.390000001</v>
      </c>
      <c r="D641" s="89" t="s">
        <v>663</v>
      </c>
    </row>
    <row r="642" spans="1:4" x14ac:dyDescent="0.25">
      <c r="A642" s="89" t="s">
        <v>103</v>
      </c>
      <c r="B642" s="89" t="s">
        <v>617</v>
      </c>
      <c r="C642" s="89">
        <v>3361495.75</v>
      </c>
      <c r="D642" s="89" t="s">
        <v>664</v>
      </c>
    </row>
    <row r="643" spans="1:4" x14ac:dyDescent="0.25">
      <c r="A643" s="89" t="s">
        <v>103</v>
      </c>
      <c r="B643" s="89" t="s">
        <v>617</v>
      </c>
      <c r="C643" s="89">
        <v>50000</v>
      </c>
      <c r="D643" s="89" t="s">
        <v>666</v>
      </c>
    </row>
    <row r="644" spans="1:4" x14ac:dyDescent="0.25">
      <c r="A644" s="89" t="s">
        <v>103</v>
      </c>
      <c r="B644" s="89" t="s">
        <v>617</v>
      </c>
      <c r="C644" s="89">
        <v>467281.52640000003</v>
      </c>
      <c r="D644" s="89" t="s">
        <v>663</v>
      </c>
    </row>
    <row r="645" spans="1:4" x14ac:dyDescent="0.25">
      <c r="A645" s="89" t="s">
        <v>103</v>
      </c>
      <c r="B645" s="89" t="s">
        <v>617</v>
      </c>
      <c r="C645" s="89">
        <v>2950956.61</v>
      </c>
      <c r="D645" s="89" t="s">
        <v>666</v>
      </c>
    </row>
    <row r="646" spans="1:4" x14ac:dyDescent="0.25">
      <c r="A646" s="89" t="s">
        <v>103</v>
      </c>
      <c r="B646" s="89" t="s">
        <v>617</v>
      </c>
      <c r="C646" s="89">
        <v>580756.94999999995</v>
      </c>
      <c r="D646" s="89" t="s">
        <v>664</v>
      </c>
    </row>
    <row r="647" spans="1:4" x14ac:dyDescent="0.25">
      <c r="A647" s="89" t="s">
        <v>103</v>
      </c>
      <c r="B647" s="89" t="s">
        <v>617</v>
      </c>
      <c r="C647" s="89">
        <v>28172111.84</v>
      </c>
      <c r="D647" s="89" t="s">
        <v>664</v>
      </c>
    </row>
    <row r="648" spans="1:4" x14ac:dyDescent="0.25">
      <c r="A648" s="89" t="s">
        <v>103</v>
      </c>
      <c r="B648" s="89" t="s">
        <v>617</v>
      </c>
      <c r="C648" s="89">
        <v>-380.26</v>
      </c>
      <c r="D648" s="89" t="s">
        <v>666</v>
      </c>
    </row>
    <row r="649" spans="1:4" x14ac:dyDescent="0.25">
      <c r="A649" s="89" t="s">
        <v>102</v>
      </c>
      <c r="B649" s="89" t="s">
        <v>617</v>
      </c>
      <c r="C649" s="89">
        <v>1087150</v>
      </c>
      <c r="D649" s="89" t="s">
        <v>663</v>
      </c>
    </row>
    <row r="650" spans="1:4" x14ac:dyDescent="0.25">
      <c r="A650" s="89" t="s">
        <v>102</v>
      </c>
      <c r="B650" s="89" t="s">
        <v>617</v>
      </c>
      <c r="C650" s="89">
        <v>3638269</v>
      </c>
      <c r="D650" s="89" t="s">
        <v>664</v>
      </c>
    </row>
    <row r="651" spans="1:4" x14ac:dyDescent="0.25">
      <c r="A651" s="89" t="s">
        <v>102</v>
      </c>
      <c r="B651" s="89" t="s">
        <v>617</v>
      </c>
      <c r="C651" s="89">
        <v>523550</v>
      </c>
      <c r="D651" s="89" t="s">
        <v>666</v>
      </c>
    </row>
    <row r="652" spans="1:4" x14ac:dyDescent="0.25">
      <c r="A652" s="89" t="s">
        <v>102</v>
      </c>
      <c r="B652" s="89" t="s">
        <v>617</v>
      </c>
      <c r="C652" s="89">
        <v>441500</v>
      </c>
      <c r="D652" s="89" t="s">
        <v>663</v>
      </c>
    </row>
    <row r="653" spans="1:4" x14ac:dyDescent="0.25">
      <c r="A653" s="89" t="s">
        <v>102</v>
      </c>
      <c r="B653" s="89" t="s">
        <v>617</v>
      </c>
      <c r="C653" s="89">
        <v>4859474</v>
      </c>
      <c r="D653" s="89" t="s">
        <v>663</v>
      </c>
    </row>
    <row r="654" spans="1:4" x14ac:dyDescent="0.25">
      <c r="A654" s="89" t="s">
        <v>102</v>
      </c>
      <c r="B654" s="89" t="s">
        <v>617</v>
      </c>
      <c r="C654" s="89">
        <v>648945</v>
      </c>
      <c r="D654" s="89" t="s">
        <v>666</v>
      </c>
    </row>
    <row r="655" spans="1:4" x14ac:dyDescent="0.25">
      <c r="A655" s="89" t="s">
        <v>102</v>
      </c>
      <c r="B655" s="89" t="s">
        <v>617</v>
      </c>
      <c r="C655" s="89">
        <v>196295</v>
      </c>
      <c r="D655" s="89" t="s">
        <v>666</v>
      </c>
    </row>
    <row r="656" spans="1:4" x14ac:dyDescent="0.25">
      <c r="A656" s="89" t="s">
        <v>102</v>
      </c>
      <c r="B656" s="89" t="s">
        <v>617</v>
      </c>
      <c r="C656" s="89">
        <v>2038647</v>
      </c>
      <c r="D656" s="89" t="s">
        <v>664</v>
      </c>
    </row>
    <row r="657" spans="1:4" x14ac:dyDescent="0.25">
      <c r="A657" s="89" t="s">
        <v>102</v>
      </c>
      <c r="B657" s="89" t="s">
        <v>617</v>
      </c>
      <c r="C657" s="89">
        <v>1409618.6</v>
      </c>
      <c r="D657" s="89" t="s">
        <v>666</v>
      </c>
    </row>
    <row r="658" spans="1:4" x14ac:dyDescent="0.25">
      <c r="A658" s="89" t="s">
        <v>102</v>
      </c>
      <c r="B658" s="89" t="s">
        <v>617</v>
      </c>
      <c r="C658" s="89">
        <v>4532058.88</v>
      </c>
      <c r="D658" s="89" t="s">
        <v>664</v>
      </c>
    </row>
    <row r="659" spans="1:4" x14ac:dyDescent="0.25">
      <c r="A659" s="89" t="s">
        <v>102</v>
      </c>
      <c r="B659" s="89" t="s">
        <v>617</v>
      </c>
      <c r="C659" s="89">
        <v>495669.31</v>
      </c>
      <c r="D659" s="89" t="s">
        <v>666</v>
      </c>
    </row>
    <row r="660" spans="1:4" x14ac:dyDescent="0.25">
      <c r="A660" s="89" t="s">
        <v>102</v>
      </c>
      <c r="B660" s="89" t="s">
        <v>617</v>
      </c>
      <c r="C660" s="89">
        <v>5265893.2</v>
      </c>
      <c r="D660" s="89" t="s">
        <v>663</v>
      </c>
    </row>
    <row r="661" spans="1:4" x14ac:dyDescent="0.25">
      <c r="A661" s="89" t="s">
        <v>102</v>
      </c>
      <c r="B661" s="89" t="s">
        <v>617</v>
      </c>
      <c r="C661" s="89">
        <v>1127152</v>
      </c>
      <c r="D661" s="89" t="s">
        <v>664</v>
      </c>
    </row>
    <row r="662" spans="1:4" x14ac:dyDescent="0.25">
      <c r="A662" s="89" t="s">
        <v>102</v>
      </c>
      <c r="B662" s="89" t="s">
        <v>617</v>
      </c>
      <c r="C662" s="89">
        <v>4454897.42</v>
      </c>
      <c r="D662" s="89" t="s">
        <v>663</v>
      </c>
    </row>
    <row r="663" spans="1:4" x14ac:dyDescent="0.25">
      <c r="A663" s="89" t="s">
        <v>102</v>
      </c>
      <c r="B663" s="89" t="s">
        <v>617</v>
      </c>
      <c r="C663" s="89">
        <v>754974</v>
      </c>
      <c r="D663" s="89" t="s">
        <v>664</v>
      </c>
    </row>
    <row r="664" spans="1:4" x14ac:dyDescent="0.25">
      <c r="A664" s="89" t="s">
        <v>102</v>
      </c>
      <c r="B664" s="89" t="s">
        <v>617</v>
      </c>
      <c r="C664" s="89">
        <v>175624</v>
      </c>
      <c r="D664" s="89" t="s">
        <v>666</v>
      </c>
    </row>
    <row r="665" spans="1:4" x14ac:dyDescent="0.25">
      <c r="A665" s="89" t="s">
        <v>102</v>
      </c>
      <c r="B665" s="89" t="s">
        <v>617</v>
      </c>
      <c r="C665" s="89">
        <v>2953785</v>
      </c>
      <c r="D665" s="89" t="s">
        <v>663</v>
      </c>
    </row>
    <row r="666" spans="1:4" x14ac:dyDescent="0.25">
      <c r="A666" s="89" t="s">
        <v>102</v>
      </c>
      <c r="B666" s="89" t="s">
        <v>617</v>
      </c>
      <c r="C666" s="89">
        <v>2230797</v>
      </c>
      <c r="D666" s="89" t="s">
        <v>664</v>
      </c>
    </row>
    <row r="667" spans="1:4" x14ac:dyDescent="0.25">
      <c r="A667" s="89" t="s">
        <v>102</v>
      </c>
      <c r="B667" s="89" t="s">
        <v>617</v>
      </c>
      <c r="C667" s="89">
        <v>192000</v>
      </c>
      <c r="D667" s="89" t="s">
        <v>663</v>
      </c>
    </row>
    <row r="668" spans="1:4" x14ac:dyDescent="0.25">
      <c r="A668" s="89" t="s">
        <v>102</v>
      </c>
      <c r="B668" s="89" t="s">
        <v>617</v>
      </c>
      <c r="C668" s="89">
        <v>3338500</v>
      </c>
      <c r="D668" s="89" t="s">
        <v>663</v>
      </c>
    </row>
    <row r="669" spans="1:4" x14ac:dyDescent="0.25">
      <c r="A669" s="89" t="s">
        <v>102</v>
      </c>
      <c r="B669" s="89" t="s">
        <v>617</v>
      </c>
      <c r="C669" s="89">
        <v>3043750</v>
      </c>
      <c r="D669" s="89" t="s">
        <v>663</v>
      </c>
    </row>
    <row r="670" spans="1:4" x14ac:dyDescent="0.25">
      <c r="A670" s="89" t="s">
        <v>102</v>
      </c>
      <c r="B670" s="89" t="s">
        <v>617</v>
      </c>
      <c r="C670" s="89">
        <v>4631016.8899999997</v>
      </c>
      <c r="D670" s="89" t="s">
        <v>664</v>
      </c>
    </row>
    <row r="671" spans="1:4" x14ac:dyDescent="0.25">
      <c r="A671" s="89" t="s">
        <v>102</v>
      </c>
      <c r="B671" s="89" t="s">
        <v>617</v>
      </c>
      <c r="C671" s="89">
        <v>807794</v>
      </c>
      <c r="D671" s="89" t="s">
        <v>664</v>
      </c>
    </row>
    <row r="672" spans="1:4" x14ac:dyDescent="0.25">
      <c r="A672" s="89" t="s">
        <v>102</v>
      </c>
      <c r="B672" s="89" t="s">
        <v>617</v>
      </c>
      <c r="C672" s="89">
        <v>518385</v>
      </c>
      <c r="D672" s="89" t="s">
        <v>666</v>
      </c>
    </row>
    <row r="673" spans="1:4" x14ac:dyDescent="0.25">
      <c r="A673" s="89" t="s">
        <v>102</v>
      </c>
      <c r="B673" s="89" t="s">
        <v>617</v>
      </c>
      <c r="C673" s="89">
        <v>4029601</v>
      </c>
      <c r="D673" s="89" t="s">
        <v>664</v>
      </c>
    </row>
    <row r="674" spans="1:4" x14ac:dyDescent="0.25">
      <c r="A674" s="89" t="s">
        <v>102</v>
      </c>
      <c r="B674" s="89" t="s">
        <v>617</v>
      </c>
      <c r="C674" s="89">
        <v>554100</v>
      </c>
      <c r="D674" s="89" t="s">
        <v>663</v>
      </c>
    </row>
    <row r="675" spans="1:4" x14ac:dyDescent="0.25">
      <c r="A675" s="89" t="s">
        <v>102</v>
      </c>
      <c r="B675" s="89" t="s">
        <v>617</v>
      </c>
      <c r="C675" s="89">
        <v>556225</v>
      </c>
      <c r="D675" s="89" t="s">
        <v>664</v>
      </c>
    </row>
    <row r="676" spans="1:4" x14ac:dyDescent="0.25">
      <c r="A676" s="89" t="s">
        <v>102</v>
      </c>
      <c r="B676" s="89" t="s">
        <v>617</v>
      </c>
      <c r="C676" s="89">
        <v>9623263</v>
      </c>
      <c r="D676" s="89" t="s">
        <v>664</v>
      </c>
    </row>
    <row r="677" spans="1:4" x14ac:dyDescent="0.25">
      <c r="A677" s="89" t="s">
        <v>102</v>
      </c>
      <c r="B677" s="89" t="s">
        <v>617</v>
      </c>
      <c r="C677" s="89">
        <v>7301693</v>
      </c>
      <c r="D677" s="89" t="s">
        <v>663</v>
      </c>
    </row>
    <row r="678" spans="1:4" x14ac:dyDescent="0.25">
      <c r="A678" s="89" t="s">
        <v>102</v>
      </c>
      <c r="B678" s="89" t="s">
        <v>617</v>
      </c>
      <c r="C678" s="89">
        <v>1745914.5</v>
      </c>
      <c r="D678" s="89" t="s">
        <v>666</v>
      </c>
    </row>
    <row r="679" spans="1:4" x14ac:dyDescent="0.25">
      <c r="A679" s="89" t="s">
        <v>102</v>
      </c>
      <c r="B679" s="89" t="s">
        <v>617</v>
      </c>
      <c r="C679" s="89">
        <v>238194</v>
      </c>
      <c r="D679" s="89" t="s">
        <v>666</v>
      </c>
    </row>
    <row r="680" spans="1:4" x14ac:dyDescent="0.25">
      <c r="A680" s="89" t="s">
        <v>102</v>
      </c>
      <c r="B680" s="89" t="s">
        <v>617</v>
      </c>
      <c r="C680" s="89">
        <v>3739494.58</v>
      </c>
      <c r="D680" s="89" t="s">
        <v>663</v>
      </c>
    </row>
    <row r="681" spans="1:4" x14ac:dyDescent="0.25">
      <c r="A681" s="89" t="s">
        <v>102</v>
      </c>
      <c r="B681" s="89" t="s">
        <v>617</v>
      </c>
      <c r="C681" s="89">
        <v>1061633</v>
      </c>
      <c r="D681" s="89" t="s">
        <v>664</v>
      </c>
    </row>
    <row r="682" spans="1:4" x14ac:dyDescent="0.25">
      <c r="A682" s="89" t="s">
        <v>102</v>
      </c>
      <c r="B682" s="89" t="s">
        <v>617</v>
      </c>
      <c r="C682" s="89">
        <v>100000</v>
      </c>
      <c r="D682" s="89" t="s">
        <v>666</v>
      </c>
    </row>
    <row r="683" spans="1:4" x14ac:dyDescent="0.25">
      <c r="A683" s="89" t="s">
        <v>102</v>
      </c>
      <c r="B683" s="89" t="s">
        <v>617</v>
      </c>
      <c r="C683" s="89">
        <v>3917612</v>
      </c>
      <c r="D683" s="89" t="s">
        <v>663</v>
      </c>
    </row>
    <row r="684" spans="1:4" x14ac:dyDescent="0.25">
      <c r="A684" s="89" t="s">
        <v>102</v>
      </c>
      <c r="B684" s="89" t="s">
        <v>617</v>
      </c>
      <c r="C684" s="89">
        <v>9087521.4900000002</v>
      </c>
      <c r="D684" s="89" t="s">
        <v>663</v>
      </c>
    </row>
    <row r="685" spans="1:4" x14ac:dyDescent="0.25">
      <c r="A685" s="89" t="s">
        <v>102</v>
      </c>
      <c r="B685" s="89" t="s">
        <v>617</v>
      </c>
      <c r="C685" s="89">
        <v>390000</v>
      </c>
      <c r="D685" s="89" t="s">
        <v>664</v>
      </c>
    </row>
    <row r="686" spans="1:4" x14ac:dyDescent="0.25">
      <c r="A686" s="89" t="s">
        <v>102</v>
      </c>
      <c r="B686" s="89" t="s">
        <v>617</v>
      </c>
      <c r="C686" s="89">
        <v>429120</v>
      </c>
      <c r="D686" s="89" t="s">
        <v>666</v>
      </c>
    </row>
    <row r="687" spans="1:4" x14ac:dyDescent="0.25">
      <c r="A687" s="89" t="s">
        <v>102</v>
      </c>
      <c r="B687" s="89" t="s">
        <v>617</v>
      </c>
      <c r="C687" s="89">
        <v>1513536</v>
      </c>
      <c r="D687" s="89" t="s">
        <v>666</v>
      </c>
    </row>
    <row r="688" spans="1:4" x14ac:dyDescent="0.25">
      <c r="A688" s="89" t="s">
        <v>102</v>
      </c>
      <c r="B688" s="89" t="s">
        <v>617</v>
      </c>
      <c r="C688" s="89">
        <v>9590536.6500000004</v>
      </c>
      <c r="D688" s="89" t="s">
        <v>664</v>
      </c>
    </row>
    <row r="689" spans="1:4" x14ac:dyDescent="0.25">
      <c r="A689" s="89" t="s">
        <v>102</v>
      </c>
      <c r="B689" s="89" t="s">
        <v>617</v>
      </c>
      <c r="C689" s="89">
        <v>3876396</v>
      </c>
      <c r="D689" s="89" t="s">
        <v>663</v>
      </c>
    </row>
    <row r="690" spans="1:4" x14ac:dyDescent="0.25">
      <c r="A690" s="89" t="s">
        <v>102</v>
      </c>
      <c r="B690" s="89" t="s">
        <v>617</v>
      </c>
      <c r="C690" s="89">
        <v>194362</v>
      </c>
      <c r="D690" s="89" t="s">
        <v>664</v>
      </c>
    </row>
    <row r="691" spans="1:4" x14ac:dyDescent="0.25">
      <c r="A691" s="89" t="s">
        <v>102</v>
      </c>
      <c r="B691" s="89" t="s">
        <v>617</v>
      </c>
      <c r="C691" s="89">
        <v>2126572</v>
      </c>
      <c r="D691" s="89" t="s">
        <v>663</v>
      </c>
    </row>
    <row r="692" spans="1:4" x14ac:dyDescent="0.25">
      <c r="A692" s="89" t="s">
        <v>102</v>
      </c>
      <c r="B692" s="89" t="s">
        <v>617</v>
      </c>
      <c r="C692" s="89">
        <v>2356792</v>
      </c>
      <c r="D692" s="89" t="s">
        <v>664</v>
      </c>
    </row>
    <row r="693" spans="1:4" x14ac:dyDescent="0.25">
      <c r="A693" s="89" t="s">
        <v>102</v>
      </c>
      <c r="B693" s="89" t="s">
        <v>617</v>
      </c>
      <c r="C693" s="89">
        <v>2691128</v>
      </c>
      <c r="D693" s="89" t="s">
        <v>663</v>
      </c>
    </row>
    <row r="694" spans="1:4" x14ac:dyDescent="0.25">
      <c r="A694" s="89" t="s">
        <v>102</v>
      </c>
      <c r="B694" s="89" t="s">
        <v>617</v>
      </c>
      <c r="C694" s="89">
        <v>794889</v>
      </c>
      <c r="D694" s="89" t="s">
        <v>666</v>
      </c>
    </row>
    <row r="695" spans="1:4" x14ac:dyDescent="0.25">
      <c r="A695" s="89" t="s">
        <v>102</v>
      </c>
      <c r="B695" s="89" t="s">
        <v>617</v>
      </c>
      <c r="C695" s="89">
        <v>50000</v>
      </c>
      <c r="D695" s="89" t="s">
        <v>666</v>
      </c>
    </row>
    <row r="696" spans="1:4" x14ac:dyDescent="0.25">
      <c r="A696" s="89" t="s">
        <v>102</v>
      </c>
      <c r="B696" s="89" t="s">
        <v>617</v>
      </c>
      <c r="C696" s="89">
        <v>612603</v>
      </c>
      <c r="D696" s="89" t="s">
        <v>664</v>
      </c>
    </row>
    <row r="697" spans="1:4" x14ac:dyDescent="0.25">
      <c r="A697" s="89" t="s">
        <v>102</v>
      </c>
      <c r="B697" s="89" t="s">
        <v>617</v>
      </c>
      <c r="C697" s="89">
        <v>1709069</v>
      </c>
      <c r="D697" s="89" t="s">
        <v>664</v>
      </c>
    </row>
    <row r="698" spans="1:4" x14ac:dyDescent="0.25">
      <c r="A698" s="89" t="s">
        <v>101</v>
      </c>
      <c r="B698" s="89" t="s">
        <v>617</v>
      </c>
      <c r="C698" s="89">
        <v>7137934</v>
      </c>
      <c r="D698" s="89" t="s">
        <v>663</v>
      </c>
    </row>
    <row r="699" spans="1:4" x14ac:dyDescent="0.25">
      <c r="A699" s="89" t="s">
        <v>101</v>
      </c>
      <c r="B699" s="89" t="s">
        <v>617</v>
      </c>
      <c r="C699" s="89">
        <v>841218.83</v>
      </c>
      <c r="D699" s="89" t="s">
        <v>663</v>
      </c>
    </row>
    <row r="700" spans="1:4" x14ac:dyDescent="0.25">
      <c r="A700" s="89" t="s">
        <v>101</v>
      </c>
      <c r="B700" s="89" t="s">
        <v>617</v>
      </c>
      <c r="C700" s="89">
        <v>914881</v>
      </c>
      <c r="D700" s="89" t="s">
        <v>664</v>
      </c>
    </row>
    <row r="701" spans="1:4" x14ac:dyDescent="0.25">
      <c r="A701" s="89" t="s">
        <v>101</v>
      </c>
      <c r="B701" s="89" t="s">
        <v>617</v>
      </c>
      <c r="C701" s="89">
        <v>819835</v>
      </c>
      <c r="D701" s="89" t="s">
        <v>663</v>
      </c>
    </row>
    <row r="702" spans="1:4" x14ac:dyDescent="0.25">
      <c r="A702" s="89" t="s">
        <v>101</v>
      </c>
      <c r="B702" s="89" t="s">
        <v>617</v>
      </c>
      <c r="C702" s="89">
        <v>1193892</v>
      </c>
      <c r="D702" s="89" t="s">
        <v>664</v>
      </c>
    </row>
    <row r="703" spans="1:4" x14ac:dyDescent="0.25">
      <c r="A703" s="89" t="s">
        <v>101</v>
      </c>
      <c r="B703" s="89" t="s">
        <v>617</v>
      </c>
      <c r="C703" s="89">
        <v>395209</v>
      </c>
      <c r="D703" s="89" t="s">
        <v>666</v>
      </c>
    </row>
    <row r="704" spans="1:4" x14ac:dyDescent="0.25">
      <c r="A704" s="89" t="s">
        <v>101</v>
      </c>
      <c r="B704" s="89" t="s">
        <v>617</v>
      </c>
      <c r="C704" s="89">
        <v>589624</v>
      </c>
      <c r="D704" s="89" t="s">
        <v>666</v>
      </c>
    </row>
    <row r="705" spans="1:4" x14ac:dyDescent="0.25">
      <c r="A705" s="89" t="s">
        <v>101</v>
      </c>
      <c r="B705" s="89" t="s">
        <v>617</v>
      </c>
      <c r="C705" s="89">
        <v>2850624</v>
      </c>
      <c r="D705" s="89" t="s">
        <v>663</v>
      </c>
    </row>
    <row r="706" spans="1:4" x14ac:dyDescent="0.25">
      <c r="A706" s="89" t="s">
        <v>101</v>
      </c>
      <c r="B706" s="89" t="s">
        <v>617</v>
      </c>
      <c r="C706" s="89">
        <v>61235</v>
      </c>
      <c r="D706" s="89" t="s">
        <v>664</v>
      </c>
    </row>
    <row r="707" spans="1:4" x14ac:dyDescent="0.25">
      <c r="A707" s="89" t="s">
        <v>101</v>
      </c>
      <c r="B707" s="89" t="s">
        <v>617</v>
      </c>
      <c r="C707" s="89">
        <v>300561</v>
      </c>
      <c r="D707" s="89" t="s">
        <v>666</v>
      </c>
    </row>
    <row r="708" spans="1:4" x14ac:dyDescent="0.25">
      <c r="A708" s="89" t="s">
        <v>101</v>
      </c>
      <c r="B708" s="89" t="s">
        <v>617</v>
      </c>
      <c r="C708" s="89">
        <v>997833</v>
      </c>
      <c r="D708" s="89" t="s">
        <v>663</v>
      </c>
    </row>
    <row r="709" spans="1:4" x14ac:dyDescent="0.25">
      <c r="A709" s="89" t="s">
        <v>101</v>
      </c>
      <c r="B709" s="89" t="s">
        <v>617</v>
      </c>
      <c r="C709" s="89">
        <v>150632.60999999999</v>
      </c>
      <c r="D709" s="89" t="s">
        <v>664</v>
      </c>
    </row>
    <row r="710" spans="1:4" x14ac:dyDescent="0.25">
      <c r="A710" s="89" t="s">
        <v>101</v>
      </c>
      <c r="B710" s="89" t="s">
        <v>617</v>
      </c>
      <c r="C710" s="89">
        <v>635047</v>
      </c>
      <c r="D710" s="89" t="s">
        <v>663</v>
      </c>
    </row>
    <row r="711" spans="1:4" x14ac:dyDescent="0.25">
      <c r="A711" s="89" t="s">
        <v>101</v>
      </c>
      <c r="B711" s="89" t="s">
        <v>617</v>
      </c>
      <c r="C711" s="89">
        <v>321299</v>
      </c>
      <c r="D711" s="89" t="s">
        <v>664</v>
      </c>
    </row>
    <row r="712" spans="1:4" x14ac:dyDescent="0.25">
      <c r="A712" s="89" t="s">
        <v>101</v>
      </c>
      <c r="B712" s="89" t="s">
        <v>617</v>
      </c>
      <c r="C712" s="89">
        <v>274671</v>
      </c>
      <c r="D712" s="89" t="s">
        <v>666</v>
      </c>
    </row>
    <row r="713" spans="1:4" x14ac:dyDescent="0.25">
      <c r="A713" s="89" t="s">
        <v>101</v>
      </c>
      <c r="B713" s="89" t="s">
        <v>617</v>
      </c>
      <c r="C713" s="89">
        <v>56445</v>
      </c>
      <c r="D713" s="89" t="s">
        <v>663</v>
      </c>
    </row>
    <row r="714" spans="1:4" x14ac:dyDescent="0.25">
      <c r="A714" s="89" t="s">
        <v>101</v>
      </c>
      <c r="B714" s="89" t="s">
        <v>617</v>
      </c>
      <c r="C714" s="89">
        <v>897672</v>
      </c>
      <c r="D714" s="89" t="s">
        <v>663</v>
      </c>
    </row>
    <row r="715" spans="1:4" x14ac:dyDescent="0.25">
      <c r="A715" s="89" t="s">
        <v>101</v>
      </c>
      <c r="B715" s="89" t="s">
        <v>617</v>
      </c>
      <c r="C715" s="89">
        <v>314336</v>
      </c>
      <c r="D715" s="89" t="s">
        <v>666</v>
      </c>
    </row>
    <row r="716" spans="1:4" x14ac:dyDescent="0.25">
      <c r="A716" s="89" t="s">
        <v>101</v>
      </c>
      <c r="B716" s="89" t="s">
        <v>617</v>
      </c>
      <c r="C716" s="89">
        <v>439695</v>
      </c>
      <c r="D716" s="89" t="s">
        <v>664</v>
      </c>
    </row>
    <row r="717" spans="1:4" x14ac:dyDescent="0.25">
      <c r="A717" s="89" t="s">
        <v>101</v>
      </c>
      <c r="B717" s="89" t="s">
        <v>617</v>
      </c>
      <c r="C717" s="89">
        <v>49763</v>
      </c>
      <c r="D717" s="89" t="s">
        <v>664</v>
      </c>
    </row>
    <row r="718" spans="1:4" x14ac:dyDescent="0.25">
      <c r="A718" s="89" t="s">
        <v>101</v>
      </c>
      <c r="B718" s="89" t="s">
        <v>617</v>
      </c>
      <c r="C718" s="89">
        <v>733906</v>
      </c>
      <c r="D718" s="89" t="s">
        <v>663</v>
      </c>
    </row>
    <row r="719" spans="1:4" x14ac:dyDescent="0.25">
      <c r="A719" s="89" t="s">
        <v>101</v>
      </c>
      <c r="B719" s="89" t="s">
        <v>617</v>
      </c>
      <c r="C719" s="89">
        <v>354658.78</v>
      </c>
      <c r="D719" s="89" t="s">
        <v>663</v>
      </c>
    </row>
    <row r="720" spans="1:4" x14ac:dyDescent="0.25">
      <c r="A720" s="89" t="s">
        <v>101</v>
      </c>
      <c r="B720" s="89" t="s">
        <v>617</v>
      </c>
      <c r="C720" s="89">
        <v>2892279</v>
      </c>
      <c r="D720" s="89" t="s">
        <v>664</v>
      </c>
    </row>
    <row r="721" spans="1:4" x14ac:dyDescent="0.25">
      <c r="A721" s="89" t="s">
        <v>101</v>
      </c>
      <c r="B721" s="89" t="s">
        <v>617</v>
      </c>
      <c r="C721" s="89">
        <v>2824061</v>
      </c>
      <c r="D721" s="89" t="s">
        <v>663</v>
      </c>
    </row>
    <row r="722" spans="1:4" x14ac:dyDescent="0.25">
      <c r="A722" s="89" t="s">
        <v>101</v>
      </c>
      <c r="B722" s="89" t="s">
        <v>617</v>
      </c>
      <c r="C722" s="89">
        <v>249290.75</v>
      </c>
      <c r="D722" s="89" t="s">
        <v>666</v>
      </c>
    </row>
    <row r="723" spans="1:4" x14ac:dyDescent="0.25">
      <c r="A723" s="89" t="s">
        <v>101</v>
      </c>
      <c r="B723" s="89" t="s">
        <v>617</v>
      </c>
      <c r="C723" s="89">
        <v>355566.88</v>
      </c>
      <c r="D723" s="89" t="s">
        <v>664</v>
      </c>
    </row>
    <row r="724" spans="1:4" x14ac:dyDescent="0.25">
      <c r="A724" s="89" t="s">
        <v>101</v>
      </c>
      <c r="B724" s="89" t="s">
        <v>617</v>
      </c>
      <c r="C724" s="89">
        <v>423353</v>
      </c>
      <c r="D724" s="89" t="s">
        <v>663</v>
      </c>
    </row>
    <row r="725" spans="1:4" x14ac:dyDescent="0.25">
      <c r="A725" s="89" t="s">
        <v>101</v>
      </c>
      <c r="B725" s="89" t="s">
        <v>617</v>
      </c>
      <c r="C725" s="89">
        <v>1032142.48</v>
      </c>
      <c r="D725" s="89" t="s">
        <v>663</v>
      </c>
    </row>
    <row r="726" spans="1:4" x14ac:dyDescent="0.25">
      <c r="A726" s="89" t="s">
        <v>101</v>
      </c>
      <c r="B726" s="89" t="s">
        <v>617</v>
      </c>
      <c r="C726" s="89">
        <v>6676727</v>
      </c>
      <c r="D726" s="89" t="s">
        <v>663</v>
      </c>
    </row>
    <row r="727" spans="1:4" x14ac:dyDescent="0.25">
      <c r="A727" s="89" t="s">
        <v>101</v>
      </c>
      <c r="B727" s="89" t="s">
        <v>617</v>
      </c>
      <c r="C727" s="89">
        <v>664201.5</v>
      </c>
      <c r="D727" s="89" t="s">
        <v>665</v>
      </c>
    </row>
    <row r="728" spans="1:4" x14ac:dyDescent="0.25">
      <c r="A728" s="89" t="s">
        <v>101</v>
      </c>
      <c r="B728" s="89" t="s">
        <v>617</v>
      </c>
      <c r="C728" s="89">
        <v>763790</v>
      </c>
      <c r="D728" s="89" t="s">
        <v>666</v>
      </c>
    </row>
    <row r="729" spans="1:4" x14ac:dyDescent="0.25">
      <c r="A729" s="89" t="s">
        <v>101</v>
      </c>
      <c r="B729" s="89" t="s">
        <v>617</v>
      </c>
      <c r="C729" s="89">
        <v>2966445.21</v>
      </c>
      <c r="D729" s="89" t="s">
        <v>663</v>
      </c>
    </row>
    <row r="730" spans="1:4" x14ac:dyDescent="0.25">
      <c r="A730" s="89" t="s">
        <v>101</v>
      </c>
      <c r="B730" s="89" t="s">
        <v>617</v>
      </c>
      <c r="C730" s="89">
        <v>1667571.61</v>
      </c>
      <c r="D730" s="89" t="s">
        <v>663</v>
      </c>
    </row>
    <row r="731" spans="1:4" x14ac:dyDescent="0.25">
      <c r="A731" s="89" t="s">
        <v>101</v>
      </c>
      <c r="B731" s="89" t="s">
        <v>617</v>
      </c>
      <c r="C731" s="89">
        <v>797194.04</v>
      </c>
      <c r="D731" s="89" t="s">
        <v>664</v>
      </c>
    </row>
    <row r="732" spans="1:4" x14ac:dyDescent="0.25">
      <c r="A732" s="89" t="s">
        <v>101</v>
      </c>
      <c r="B732" s="89" t="s">
        <v>617</v>
      </c>
      <c r="C732" s="89">
        <v>1128843.44</v>
      </c>
      <c r="D732" s="89" t="s">
        <v>664</v>
      </c>
    </row>
    <row r="733" spans="1:4" x14ac:dyDescent="0.25">
      <c r="A733" s="89" t="s">
        <v>101</v>
      </c>
      <c r="B733" s="89" t="s">
        <v>617</v>
      </c>
      <c r="C733" s="89">
        <v>711833.8</v>
      </c>
      <c r="D733" s="89" t="s">
        <v>666</v>
      </c>
    </row>
    <row r="734" spans="1:4" x14ac:dyDescent="0.25">
      <c r="A734" s="89" t="s">
        <v>101</v>
      </c>
      <c r="B734" s="89" t="s">
        <v>617</v>
      </c>
      <c r="C734" s="89">
        <v>1667073</v>
      </c>
      <c r="D734" s="89" t="s">
        <v>663</v>
      </c>
    </row>
    <row r="735" spans="1:4" x14ac:dyDescent="0.25">
      <c r="A735" s="89" t="s">
        <v>101</v>
      </c>
      <c r="B735" s="89" t="s">
        <v>617</v>
      </c>
      <c r="C735" s="89">
        <v>2334804</v>
      </c>
      <c r="D735" s="89" t="s">
        <v>663</v>
      </c>
    </row>
    <row r="736" spans="1:4" x14ac:dyDescent="0.25">
      <c r="A736" s="89" t="s">
        <v>101</v>
      </c>
      <c r="B736" s="89" t="s">
        <v>617</v>
      </c>
      <c r="C736" s="89">
        <v>451880.6</v>
      </c>
      <c r="D736" s="89" t="s">
        <v>665</v>
      </c>
    </row>
    <row r="737" spans="1:4" x14ac:dyDescent="0.25">
      <c r="A737" s="89" t="s">
        <v>101</v>
      </c>
      <c r="B737" s="89" t="s">
        <v>617</v>
      </c>
      <c r="C737" s="89">
        <v>5310723.67</v>
      </c>
      <c r="D737" s="89" t="s">
        <v>663</v>
      </c>
    </row>
    <row r="738" spans="1:4" x14ac:dyDescent="0.25">
      <c r="A738" s="89" t="s">
        <v>101</v>
      </c>
      <c r="B738" s="89" t="s">
        <v>617</v>
      </c>
      <c r="C738" s="89">
        <v>794578.21</v>
      </c>
      <c r="D738" s="89" t="s">
        <v>666</v>
      </c>
    </row>
    <row r="739" spans="1:4" x14ac:dyDescent="0.25">
      <c r="A739" s="89" t="s">
        <v>101</v>
      </c>
      <c r="B739" s="89" t="s">
        <v>617</v>
      </c>
      <c r="C739" s="89">
        <v>2353494.81</v>
      </c>
      <c r="D739" s="89" t="s">
        <v>663</v>
      </c>
    </row>
    <row r="740" spans="1:4" x14ac:dyDescent="0.25">
      <c r="A740" s="89" t="s">
        <v>101</v>
      </c>
      <c r="B740" s="89" t="s">
        <v>617</v>
      </c>
      <c r="C740" s="89">
        <v>251099</v>
      </c>
      <c r="D740" s="89" t="s">
        <v>664</v>
      </c>
    </row>
    <row r="741" spans="1:4" x14ac:dyDescent="0.25">
      <c r="A741" s="89" t="s">
        <v>101</v>
      </c>
      <c r="B741" s="89" t="s">
        <v>617</v>
      </c>
      <c r="C741" s="89">
        <v>4740465.47</v>
      </c>
      <c r="D741" s="89" t="s">
        <v>663</v>
      </c>
    </row>
    <row r="742" spans="1:4" x14ac:dyDescent="0.25">
      <c r="A742" s="89" t="s">
        <v>101</v>
      </c>
      <c r="B742" s="89" t="s">
        <v>617</v>
      </c>
      <c r="C742" s="89">
        <v>1506308</v>
      </c>
      <c r="D742" s="89" t="s">
        <v>664</v>
      </c>
    </row>
    <row r="743" spans="1:4" x14ac:dyDescent="0.25">
      <c r="A743" s="89" t="s">
        <v>101</v>
      </c>
      <c r="B743" s="89" t="s">
        <v>617</v>
      </c>
      <c r="C743" s="89">
        <v>1245948</v>
      </c>
      <c r="D743" s="89" t="s">
        <v>664</v>
      </c>
    </row>
    <row r="744" spans="1:4" x14ac:dyDescent="0.25">
      <c r="A744" s="89" t="s">
        <v>101</v>
      </c>
      <c r="B744" s="89" t="s">
        <v>617</v>
      </c>
      <c r="C744" s="89">
        <v>136605</v>
      </c>
      <c r="D744" s="89" t="s">
        <v>663</v>
      </c>
    </row>
    <row r="745" spans="1:4" x14ac:dyDescent="0.25">
      <c r="A745" s="89" t="s">
        <v>101</v>
      </c>
      <c r="B745" s="89" t="s">
        <v>617</v>
      </c>
      <c r="C745" s="89">
        <v>35526.42</v>
      </c>
      <c r="D745" s="89" t="s">
        <v>665</v>
      </c>
    </row>
    <row r="746" spans="1:4" x14ac:dyDescent="0.25">
      <c r="A746" s="89" t="s">
        <v>101</v>
      </c>
      <c r="B746" s="89" t="s">
        <v>617</v>
      </c>
      <c r="C746" s="89">
        <v>61340</v>
      </c>
      <c r="D746" s="89" t="s">
        <v>664</v>
      </c>
    </row>
    <row r="747" spans="1:4" x14ac:dyDescent="0.25">
      <c r="A747" s="89" t="s">
        <v>101</v>
      </c>
      <c r="B747" s="89" t="s">
        <v>617</v>
      </c>
      <c r="C747" s="89">
        <v>587630</v>
      </c>
      <c r="D747" s="89" t="s">
        <v>663</v>
      </c>
    </row>
    <row r="748" spans="1:4" x14ac:dyDescent="0.25">
      <c r="A748" s="89" t="s">
        <v>101</v>
      </c>
      <c r="B748" s="89" t="s">
        <v>617</v>
      </c>
      <c r="C748" s="89">
        <v>4643270.8</v>
      </c>
      <c r="D748" s="89" t="s">
        <v>663</v>
      </c>
    </row>
    <row r="749" spans="1:4" x14ac:dyDescent="0.25">
      <c r="A749" s="89" t="s">
        <v>101</v>
      </c>
      <c r="B749" s="89" t="s">
        <v>617</v>
      </c>
      <c r="C749" s="89">
        <v>8233322.4199999999</v>
      </c>
      <c r="D749" s="89" t="s">
        <v>663</v>
      </c>
    </row>
    <row r="750" spans="1:4" x14ac:dyDescent="0.25">
      <c r="A750" s="89" t="s">
        <v>101</v>
      </c>
      <c r="B750" s="89" t="s">
        <v>617</v>
      </c>
      <c r="C750" s="89">
        <v>381638.56</v>
      </c>
      <c r="D750" s="89" t="s">
        <v>664</v>
      </c>
    </row>
    <row r="751" spans="1:4" x14ac:dyDescent="0.25">
      <c r="A751" s="89" t="s">
        <v>101</v>
      </c>
      <c r="B751" s="89" t="s">
        <v>617</v>
      </c>
      <c r="C751" s="89">
        <v>384242.39</v>
      </c>
      <c r="D751" s="89" t="s">
        <v>666</v>
      </c>
    </row>
    <row r="752" spans="1:4" x14ac:dyDescent="0.25">
      <c r="A752" s="89" t="s">
        <v>101</v>
      </c>
      <c r="B752" s="89" t="s">
        <v>617</v>
      </c>
      <c r="C752" s="89">
        <v>50000</v>
      </c>
      <c r="D752" s="89" t="s">
        <v>666</v>
      </c>
    </row>
    <row r="753" spans="1:4" x14ac:dyDescent="0.25">
      <c r="A753" s="89" t="s">
        <v>101</v>
      </c>
      <c r="B753" s="89" t="s">
        <v>617</v>
      </c>
      <c r="C753" s="89">
        <v>5391396.2000000002</v>
      </c>
      <c r="D753" s="89" t="s">
        <v>664</v>
      </c>
    </row>
    <row r="754" spans="1:4" x14ac:dyDescent="0.25">
      <c r="A754" s="89" t="s">
        <v>101</v>
      </c>
      <c r="B754" s="89" t="s">
        <v>617</v>
      </c>
      <c r="C754" s="89">
        <v>312151.96000000002</v>
      </c>
      <c r="D754" s="89" t="s">
        <v>664</v>
      </c>
    </row>
    <row r="755" spans="1:4" x14ac:dyDescent="0.25">
      <c r="A755" s="89" t="s">
        <v>101</v>
      </c>
      <c r="B755" s="89" t="s">
        <v>617</v>
      </c>
      <c r="C755" s="89">
        <v>1848024.12</v>
      </c>
      <c r="D755" s="89" t="s">
        <v>663</v>
      </c>
    </row>
    <row r="756" spans="1:4" x14ac:dyDescent="0.25">
      <c r="A756" s="89" t="s">
        <v>101</v>
      </c>
      <c r="B756" s="89" t="s">
        <v>617</v>
      </c>
      <c r="C756" s="89">
        <v>3816822.79</v>
      </c>
      <c r="D756" s="89" t="s">
        <v>663</v>
      </c>
    </row>
    <row r="757" spans="1:4" x14ac:dyDescent="0.25">
      <c r="A757" s="89" t="s">
        <v>101</v>
      </c>
      <c r="B757" s="89" t="s">
        <v>617</v>
      </c>
      <c r="C757" s="89">
        <v>517684.35</v>
      </c>
      <c r="D757" s="89" t="s">
        <v>664</v>
      </c>
    </row>
    <row r="758" spans="1:4" x14ac:dyDescent="0.25">
      <c r="A758" s="89" t="s">
        <v>101</v>
      </c>
      <c r="B758" s="89" t="s">
        <v>617</v>
      </c>
      <c r="C758" s="89">
        <v>3263937.49</v>
      </c>
      <c r="D758" s="89" t="s">
        <v>663</v>
      </c>
    </row>
    <row r="759" spans="1:4" x14ac:dyDescent="0.25">
      <c r="A759" s="89" t="s">
        <v>101</v>
      </c>
      <c r="B759" s="89" t="s">
        <v>617</v>
      </c>
      <c r="C759" s="89">
        <v>464805.26</v>
      </c>
      <c r="D759" s="89" t="s">
        <v>664</v>
      </c>
    </row>
    <row r="760" spans="1:4" x14ac:dyDescent="0.25">
      <c r="A760" s="89" t="s">
        <v>101</v>
      </c>
      <c r="B760" s="89" t="s">
        <v>617</v>
      </c>
      <c r="C760" s="89">
        <v>2242361</v>
      </c>
      <c r="D760" s="89" t="s">
        <v>663</v>
      </c>
    </row>
    <row r="761" spans="1:4" x14ac:dyDescent="0.25">
      <c r="A761" s="89" t="s">
        <v>101</v>
      </c>
      <c r="B761" s="89" t="s">
        <v>617</v>
      </c>
      <c r="C761" s="89">
        <v>3773360.69</v>
      </c>
      <c r="D761" s="89" t="s">
        <v>663</v>
      </c>
    </row>
    <row r="762" spans="1:4" x14ac:dyDescent="0.25">
      <c r="A762" s="89" t="s">
        <v>101</v>
      </c>
      <c r="B762" s="89" t="s">
        <v>617</v>
      </c>
      <c r="C762" s="89">
        <v>262715.67</v>
      </c>
      <c r="D762" s="89" t="s">
        <v>665</v>
      </c>
    </row>
    <row r="763" spans="1:4" x14ac:dyDescent="0.25">
      <c r="A763" s="89" t="s">
        <v>101</v>
      </c>
      <c r="B763" s="89" t="s">
        <v>617</v>
      </c>
      <c r="C763" s="89">
        <v>686001.19</v>
      </c>
      <c r="D763" s="89" t="s">
        <v>664</v>
      </c>
    </row>
    <row r="764" spans="1:4" x14ac:dyDescent="0.25">
      <c r="A764" s="89" t="s">
        <v>101</v>
      </c>
      <c r="B764" s="89" t="s">
        <v>617</v>
      </c>
      <c r="C764" s="89">
        <v>695238.28</v>
      </c>
      <c r="D764" s="89" t="s">
        <v>666</v>
      </c>
    </row>
    <row r="765" spans="1:4" x14ac:dyDescent="0.25">
      <c r="A765" s="89" t="s">
        <v>101</v>
      </c>
      <c r="B765" s="89" t="s">
        <v>617</v>
      </c>
      <c r="C765" s="89">
        <v>2014609.17</v>
      </c>
      <c r="D765" s="89" t="s">
        <v>663</v>
      </c>
    </row>
    <row r="766" spans="1:4" x14ac:dyDescent="0.25">
      <c r="A766" s="89" t="s">
        <v>101</v>
      </c>
      <c r="B766" s="89" t="s">
        <v>617</v>
      </c>
      <c r="C766" s="89">
        <v>4235878.83</v>
      </c>
      <c r="D766" s="89" t="s">
        <v>663</v>
      </c>
    </row>
    <row r="767" spans="1:4" x14ac:dyDescent="0.25">
      <c r="A767" s="89" t="s">
        <v>101</v>
      </c>
      <c r="B767" s="89" t="s">
        <v>617</v>
      </c>
      <c r="C767" s="89">
        <v>614203.64</v>
      </c>
      <c r="D767" s="89" t="s">
        <v>665</v>
      </c>
    </row>
    <row r="768" spans="1:4" x14ac:dyDescent="0.25">
      <c r="A768" s="89" t="s">
        <v>101</v>
      </c>
      <c r="B768" s="89" t="s">
        <v>617</v>
      </c>
      <c r="C768" s="89">
        <v>685030.47</v>
      </c>
      <c r="D768" s="89" t="s">
        <v>666</v>
      </c>
    </row>
    <row r="769" spans="1:4" x14ac:dyDescent="0.25">
      <c r="A769" s="89" t="s">
        <v>101</v>
      </c>
      <c r="B769" s="89" t="s">
        <v>617</v>
      </c>
      <c r="C769" s="89">
        <v>296488.13</v>
      </c>
      <c r="D769" s="89" t="s">
        <v>664</v>
      </c>
    </row>
    <row r="770" spans="1:4" x14ac:dyDescent="0.25">
      <c r="A770" s="89" t="s">
        <v>101</v>
      </c>
      <c r="B770" s="89" t="s">
        <v>617</v>
      </c>
      <c r="C770" s="89">
        <v>951775.55</v>
      </c>
      <c r="D770" s="89" t="s">
        <v>666</v>
      </c>
    </row>
    <row r="771" spans="1:4" x14ac:dyDescent="0.25">
      <c r="A771" s="89" t="s">
        <v>101</v>
      </c>
      <c r="B771" s="89" t="s">
        <v>617</v>
      </c>
      <c r="C771" s="89">
        <v>2747636.42</v>
      </c>
      <c r="D771" s="89" t="s">
        <v>663</v>
      </c>
    </row>
    <row r="772" spans="1:4" x14ac:dyDescent="0.25">
      <c r="A772" s="89" t="s">
        <v>101</v>
      </c>
      <c r="B772" s="89" t="s">
        <v>617</v>
      </c>
      <c r="C772" s="89">
        <v>3363876</v>
      </c>
      <c r="D772" s="89" t="s">
        <v>666</v>
      </c>
    </row>
    <row r="773" spans="1:4" x14ac:dyDescent="0.25">
      <c r="A773" s="89" t="s">
        <v>101</v>
      </c>
      <c r="B773" s="89" t="s">
        <v>617</v>
      </c>
      <c r="C773" s="89">
        <v>4387683</v>
      </c>
      <c r="D773" s="89" t="s">
        <v>663</v>
      </c>
    </row>
    <row r="774" spans="1:4" x14ac:dyDescent="0.25">
      <c r="A774" s="89" t="s">
        <v>101</v>
      </c>
      <c r="B774" s="89" t="s">
        <v>617</v>
      </c>
      <c r="C774" s="89">
        <v>504367.74</v>
      </c>
      <c r="D774" s="89" t="s">
        <v>664</v>
      </c>
    </row>
    <row r="775" spans="1:4" x14ac:dyDescent="0.25">
      <c r="A775" s="89" t="s">
        <v>101</v>
      </c>
      <c r="B775" s="89" t="s">
        <v>617</v>
      </c>
      <c r="C775" s="89">
        <v>3208630.51</v>
      </c>
      <c r="D775" s="89" t="s">
        <v>664</v>
      </c>
    </row>
    <row r="776" spans="1:4" x14ac:dyDescent="0.25">
      <c r="A776" s="89" t="s">
        <v>101</v>
      </c>
      <c r="B776" s="89" t="s">
        <v>617</v>
      </c>
      <c r="C776" s="89">
        <v>1906201.35</v>
      </c>
      <c r="D776" s="89" t="s">
        <v>666</v>
      </c>
    </row>
    <row r="777" spans="1:4" x14ac:dyDescent="0.25">
      <c r="A777" s="89" t="s">
        <v>101</v>
      </c>
      <c r="B777" s="89" t="s">
        <v>617</v>
      </c>
      <c r="C777" s="89">
        <v>324121</v>
      </c>
      <c r="D777" s="89" t="s">
        <v>663</v>
      </c>
    </row>
    <row r="778" spans="1:4" x14ac:dyDescent="0.25">
      <c r="A778" s="89" t="s">
        <v>101</v>
      </c>
      <c r="B778" s="89" t="s">
        <v>617</v>
      </c>
      <c r="C778" s="89">
        <v>5525140.7999999998</v>
      </c>
      <c r="D778" s="89" t="s">
        <v>664</v>
      </c>
    </row>
    <row r="779" spans="1:4" x14ac:dyDescent="0.25">
      <c r="A779" s="89" t="s">
        <v>101</v>
      </c>
      <c r="B779" s="89" t="s">
        <v>617</v>
      </c>
      <c r="C779" s="89">
        <v>46348.09</v>
      </c>
      <c r="D779" s="89" t="s">
        <v>663</v>
      </c>
    </row>
    <row r="780" spans="1:4" x14ac:dyDescent="0.25">
      <c r="A780" s="89" t="s">
        <v>101</v>
      </c>
      <c r="B780" s="89" t="s">
        <v>617</v>
      </c>
      <c r="C780" s="89">
        <v>326950.52</v>
      </c>
      <c r="D780" s="89" t="s">
        <v>664</v>
      </c>
    </row>
    <row r="781" spans="1:4" x14ac:dyDescent="0.25">
      <c r="A781" s="89" t="s">
        <v>101</v>
      </c>
      <c r="B781" s="89" t="s">
        <v>617</v>
      </c>
      <c r="C781" s="89">
        <v>2432948</v>
      </c>
      <c r="D781" s="89" t="s">
        <v>663</v>
      </c>
    </row>
    <row r="782" spans="1:4" x14ac:dyDescent="0.25">
      <c r="A782" s="89" t="s">
        <v>101</v>
      </c>
      <c r="B782" s="89" t="s">
        <v>617</v>
      </c>
      <c r="C782" s="89">
        <v>289460.21999999997</v>
      </c>
      <c r="D782" s="89" t="s">
        <v>663</v>
      </c>
    </row>
    <row r="783" spans="1:4" x14ac:dyDescent="0.25">
      <c r="A783" s="89" t="s">
        <v>101</v>
      </c>
      <c r="B783" s="89" t="s">
        <v>617</v>
      </c>
      <c r="C783" s="89">
        <v>2875175</v>
      </c>
      <c r="D783" s="89" t="s">
        <v>663</v>
      </c>
    </row>
    <row r="784" spans="1:4" x14ac:dyDescent="0.25">
      <c r="A784" s="89" t="s">
        <v>101</v>
      </c>
      <c r="B784" s="89" t="s">
        <v>617</v>
      </c>
      <c r="C784" s="89">
        <v>1422298</v>
      </c>
      <c r="D784" s="89" t="s">
        <v>663</v>
      </c>
    </row>
    <row r="785" spans="1:4" x14ac:dyDescent="0.25">
      <c r="A785" s="89" t="s">
        <v>101</v>
      </c>
      <c r="B785" s="89" t="s">
        <v>617</v>
      </c>
      <c r="C785" s="89">
        <v>1952490</v>
      </c>
      <c r="D785" s="89" t="s">
        <v>664</v>
      </c>
    </row>
    <row r="786" spans="1:4" x14ac:dyDescent="0.25">
      <c r="A786" s="89" t="s">
        <v>101</v>
      </c>
      <c r="B786" s="89" t="s">
        <v>617</v>
      </c>
      <c r="C786" s="89">
        <v>588075</v>
      </c>
      <c r="D786" s="89" t="s">
        <v>666</v>
      </c>
    </row>
    <row r="787" spans="1:4" x14ac:dyDescent="0.25">
      <c r="A787" s="89" t="s">
        <v>101</v>
      </c>
      <c r="B787" s="89" t="s">
        <v>617</v>
      </c>
      <c r="C787" s="89">
        <v>2882658</v>
      </c>
      <c r="D787" s="89" t="s">
        <v>663</v>
      </c>
    </row>
    <row r="788" spans="1:4" x14ac:dyDescent="0.25">
      <c r="A788" s="89" t="s">
        <v>101</v>
      </c>
      <c r="B788" s="89" t="s">
        <v>617</v>
      </c>
      <c r="C788" s="89">
        <v>2189302</v>
      </c>
      <c r="D788" s="89" t="s">
        <v>663</v>
      </c>
    </row>
    <row r="789" spans="1:4" x14ac:dyDescent="0.25">
      <c r="A789" s="89" t="s">
        <v>101</v>
      </c>
      <c r="B789" s="89" t="s">
        <v>617</v>
      </c>
      <c r="C789" s="89">
        <v>678757.39</v>
      </c>
      <c r="D789" s="89" t="s">
        <v>666</v>
      </c>
    </row>
    <row r="790" spans="1:4" x14ac:dyDescent="0.25">
      <c r="A790" s="89" t="s">
        <v>101</v>
      </c>
      <c r="B790" s="89" t="s">
        <v>617</v>
      </c>
      <c r="C790" s="89">
        <v>1555933</v>
      </c>
      <c r="D790" s="89" t="s">
        <v>664</v>
      </c>
    </row>
    <row r="791" spans="1:4" x14ac:dyDescent="0.25">
      <c r="A791" s="89" t="s">
        <v>101</v>
      </c>
      <c r="B791" s="89" t="s">
        <v>617</v>
      </c>
      <c r="C791" s="89">
        <v>317263.83</v>
      </c>
      <c r="D791" s="89" t="s">
        <v>664</v>
      </c>
    </row>
    <row r="792" spans="1:4" x14ac:dyDescent="0.25">
      <c r="A792" s="89" t="s">
        <v>101</v>
      </c>
      <c r="B792" s="89" t="s">
        <v>617</v>
      </c>
      <c r="C792" s="89">
        <v>572643.96</v>
      </c>
      <c r="D792" s="89" t="s">
        <v>666</v>
      </c>
    </row>
    <row r="793" spans="1:4" x14ac:dyDescent="0.25">
      <c r="A793" s="89" t="s">
        <v>101</v>
      </c>
      <c r="B793" s="89" t="s">
        <v>617</v>
      </c>
      <c r="C793" s="89">
        <v>42783.47</v>
      </c>
      <c r="D793" s="89" t="s">
        <v>664</v>
      </c>
    </row>
    <row r="794" spans="1:4" x14ac:dyDescent="0.25">
      <c r="A794" s="89" t="s">
        <v>101</v>
      </c>
      <c r="B794" s="89" t="s">
        <v>617</v>
      </c>
      <c r="C794" s="89">
        <v>156033.35</v>
      </c>
      <c r="D794" s="89" t="s">
        <v>663</v>
      </c>
    </row>
    <row r="795" spans="1:4" x14ac:dyDescent="0.25">
      <c r="A795" s="89" t="s">
        <v>101</v>
      </c>
      <c r="B795" s="89" t="s">
        <v>617</v>
      </c>
      <c r="C795" s="89">
        <v>871563.51</v>
      </c>
      <c r="D795" s="89" t="s">
        <v>663</v>
      </c>
    </row>
    <row r="796" spans="1:4" x14ac:dyDescent="0.25">
      <c r="A796" s="89" t="s">
        <v>101</v>
      </c>
      <c r="B796" s="89" t="s">
        <v>617</v>
      </c>
      <c r="C796" s="89">
        <v>544208.69999999995</v>
      </c>
      <c r="D796" s="89" t="s">
        <v>664</v>
      </c>
    </row>
    <row r="797" spans="1:4" x14ac:dyDescent="0.25">
      <c r="A797" s="89" t="s">
        <v>101</v>
      </c>
      <c r="B797" s="89" t="s">
        <v>617</v>
      </c>
      <c r="C797" s="89">
        <v>135624</v>
      </c>
      <c r="D797" s="89" t="s">
        <v>665</v>
      </c>
    </row>
    <row r="798" spans="1:4" x14ac:dyDescent="0.25">
      <c r="A798" s="89" t="s">
        <v>101</v>
      </c>
      <c r="B798" s="89" t="s">
        <v>617</v>
      </c>
      <c r="C798" s="89">
        <v>13000</v>
      </c>
      <c r="D798" s="89" t="s">
        <v>666</v>
      </c>
    </row>
    <row r="799" spans="1:4" x14ac:dyDescent="0.25">
      <c r="A799" s="89" t="s">
        <v>101</v>
      </c>
      <c r="B799" s="89" t="s">
        <v>617</v>
      </c>
      <c r="C799" s="89">
        <v>-731059.51</v>
      </c>
      <c r="D799" s="89" t="s">
        <v>663</v>
      </c>
    </row>
    <row r="800" spans="1:4" x14ac:dyDescent="0.25">
      <c r="A800" s="89" t="s">
        <v>101</v>
      </c>
      <c r="B800" s="89" t="s">
        <v>617</v>
      </c>
      <c r="C800" s="89">
        <v>1367586.29</v>
      </c>
      <c r="D800" s="89" t="s">
        <v>663</v>
      </c>
    </row>
    <row r="801" spans="1:4" x14ac:dyDescent="0.25">
      <c r="A801" s="89" t="s">
        <v>101</v>
      </c>
      <c r="B801" s="89" t="s">
        <v>617</v>
      </c>
      <c r="C801" s="89">
        <v>95919</v>
      </c>
      <c r="D801" s="89" t="s">
        <v>663</v>
      </c>
    </row>
    <row r="802" spans="1:4" x14ac:dyDescent="0.25">
      <c r="A802" s="89" t="s">
        <v>101</v>
      </c>
      <c r="B802" s="89" t="s">
        <v>617</v>
      </c>
      <c r="C802" s="89">
        <v>700896.93</v>
      </c>
      <c r="D802" s="89" t="s">
        <v>664</v>
      </c>
    </row>
    <row r="803" spans="1:4" x14ac:dyDescent="0.25">
      <c r="A803" s="89" t="s">
        <v>101</v>
      </c>
      <c r="B803" s="89" t="s">
        <v>617</v>
      </c>
      <c r="C803" s="89">
        <v>1433216.38</v>
      </c>
      <c r="D803" s="89" t="s">
        <v>663</v>
      </c>
    </row>
    <row r="804" spans="1:4" x14ac:dyDescent="0.25">
      <c r="A804" s="89" t="s">
        <v>101</v>
      </c>
      <c r="B804" s="89" t="s">
        <v>617</v>
      </c>
      <c r="C804" s="89">
        <v>6765594.0800000001</v>
      </c>
      <c r="D804" s="89" t="s">
        <v>664</v>
      </c>
    </row>
    <row r="805" spans="1:4" x14ac:dyDescent="0.25">
      <c r="A805" s="89" t="s">
        <v>101</v>
      </c>
      <c r="B805" s="89" t="s">
        <v>617</v>
      </c>
      <c r="C805" s="89">
        <v>554060.89</v>
      </c>
      <c r="D805" s="89" t="s">
        <v>666</v>
      </c>
    </row>
    <row r="806" spans="1:4" x14ac:dyDescent="0.25">
      <c r="A806" s="89" t="s">
        <v>101</v>
      </c>
      <c r="B806" s="89" t="s">
        <v>617</v>
      </c>
      <c r="C806" s="89">
        <v>587013.63</v>
      </c>
      <c r="D806" s="89" t="s">
        <v>665</v>
      </c>
    </row>
    <row r="807" spans="1:4" x14ac:dyDescent="0.25">
      <c r="A807" s="89" t="s">
        <v>101</v>
      </c>
      <c r="B807" s="89" t="s">
        <v>617</v>
      </c>
      <c r="C807" s="89">
        <v>686433.15</v>
      </c>
      <c r="D807" s="89" t="s">
        <v>665</v>
      </c>
    </row>
    <row r="808" spans="1:4" x14ac:dyDescent="0.25">
      <c r="A808" s="89" t="s">
        <v>101</v>
      </c>
      <c r="B808" s="89" t="s">
        <v>617</v>
      </c>
      <c r="C808" s="89">
        <v>404114.29</v>
      </c>
      <c r="D808" s="89" t="s">
        <v>666</v>
      </c>
    </row>
    <row r="809" spans="1:4" x14ac:dyDescent="0.25">
      <c r="A809" s="89" t="s">
        <v>101</v>
      </c>
      <c r="B809" s="89" t="s">
        <v>617</v>
      </c>
      <c r="C809" s="89">
        <v>1967366.14</v>
      </c>
      <c r="D809" s="89" t="s">
        <v>663</v>
      </c>
    </row>
    <row r="810" spans="1:4" x14ac:dyDescent="0.25">
      <c r="A810" s="89" t="s">
        <v>101</v>
      </c>
      <c r="B810" s="89" t="s">
        <v>617</v>
      </c>
      <c r="C810" s="89">
        <v>582314.61</v>
      </c>
      <c r="D810" s="89" t="s">
        <v>666</v>
      </c>
    </row>
    <row r="811" spans="1:4" x14ac:dyDescent="0.25">
      <c r="A811" s="89" t="s">
        <v>101</v>
      </c>
      <c r="B811" s="89" t="s">
        <v>617</v>
      </c>
      <c r="C811" s="89">
        <v>1280967.45</v>
      </c>
      <c r="D811" s="89" t="s">
        <v>664</v>
      </c>
    </row>
    <row r="812" spans="1:4" x14ac:dyDescent="0.25">
      <c r="A812" s="89" t="s">
        <v>101</v>
      </c>
      <c r="B812" s="89" t="s">
        <v>617</v>
      </c>
      <c r="C812" s="89">
        <v>328178.93</v>
      </c>
      <c r="D812" s="89" t="s">
        <v>666</v>
      </c>
    </row>
    <row r="813" spans="1:4" x14ac:dyDescent="0.25">
      <c r="A813" s="89" t="s">
        <v>101</v>
      </c>
      <c r="B813" s="89" t="s">
        <v>617</v>
      </c>
      <c r="C813" s="89">
        <v>706580</v>
      </c>
      <c r="D813" s="89" t="s">
        <v>664</v>
      </c>
    </row>
    <row r="814" spans="1:4" x14ac:dyDescent="0.25">
      <c r="A814" s="89" t="s">
        <v>101</v>
      </c>
      <c r="B814" s="89" t="s">
        <v>617</v>
      </c>
      <c r="C814" s="89">
        <v>1937274.16</v>
      </c>
      <c r="D814" s="89" t="s">
        <v>663</v>
      </c>
    </row>
    <row r="815" spans="1:4" x14ac:dyDescent="0.25">
      <c r="A815" s="89" t="s">
        <v>101</v>
      </c>
      <c r="B815" s="89" t="s">
        <v>617</v>
      </c>
      <c r="C815" s="89">
        <v>553151.43999999994</v>
      </c>
      <c r="D815" s="89" t="s">
        <v>666</v>
      </c>
    </row>
    <row r="816" spans="1:4" x14ac:dyDescent="0.25">
      <c r="A816" s="89" t="s">
        <v>101</v>
      </c>
      <c r="B816" s="89" t="s">
        <v>617</v>
      </c>
      <c r="C816" s="89">
        <v>49294.71</v>
      </c>
      <c r="D816" s="89" t="s">
        <v>665</v>
      </c>
    </row>
    <row r="817" spans="1:4" x14ac:dyDescent="0.25">
      <c r="A817" s="89" t="s">
        <v>101</v>
      </c>
      <c r="B817" s="89" t="s">
        <v>617</v>
      </c>
      <c r="C817" s="89">
        <v>393710.42</v>
      </c>
      <c r="D817" s="89" t="s">
        <v>663</v>
      </c>
    </row>
    <row r="818" spans="1:4" x14ac:dyDescent="0.25">
      <c r="A818" s="89" t="s">
        <v>101</v>
      </c>
      <c r="B818" s="89" t="s">
        <v>617</v>
      </c>
      <c r="C818" s="89">
        <v>414591.84</v>
      </c>
      <c r="D818" s="89" t="s">
        <v>666</v>
      </c>
    </row>
    <row r="819" spans="1:4" x14ac:dyDescent="0.25">
      <c r="A819" s="89" t="s">
        <v>101</v>
      </c>
      <c r="B819" s="89" t="s">
        <v>617</v>
      </c>
      <c r="C819" s="89">
        <v>1008540.57</v>
      </c>
      <c r="D819" s="89" t="s">
        <v>666</v>
      </c>
    </row>
    <row r="820" spans="1:4" x14ac:dyDescent="0.25">
      <c r="A820" s="89" t="s">
        <v>101</v>
      </c>
      <c r="B820" s="89" t="s">
        <v>617</v>
      </c>
      <c r="C820" s="89">
        <v>24366537.68</v>
      </c>
      <c r="D820" s="89" t="s">
        <v>664</v>
      </c>
    </row>
    <row r="821" spans="1:4" x14ac:dyDescent="0.25">
      <c r="A821" s="89" t="s">
        <v>101</v>
      </c>
      <c r="B821" s="89" t="s">
        <v>617</v>
      </c>
      <c r="C821" s="89">
        <v>5562558.1200000001</v>
      </c>
      <c r="D821" s="89" t="s">
        <v>665</v>
      </c>
    </row>
    <row r="822" spans="1:4" x14ac:dyDescent="0.25">
      <c r="A822" s="89" t="s">
        <v>101</v>
      </c>
      <c r="B822" s="89" t="s">
        <v>617</v>
      </c>
      <c r="C822" s="89">
        <v>50000</v>
      </c>
      <c r="D822" s="89" t="s">
        <v>666</v>
      </c>
    </row>
    <row r="823" spans="1:4" x14ac:dyDescent="0.25">
      <c r="A823" s="89" t="s">
        <v>101</v>
      </c>
      <c r="B823" s="89" t="s">
        <v>617</v>
      </c>
      <c r="C823" s="89">
        <v>752607</v>
      </c>
      <c r="D823" s="89" t="s">
        <v>666</v>
      </c>
    </row>
    <row r="824" spans="1:4" x14ac:dyDescent="0.25">
      <c r="A824" s="89" t="s">
        <v>101</v>
      </c>
      <c r="B824" s="89" t="s">
        <v>617</v>
      </c>
      <c r="C824" s="89">
        <v>1049953.7</v>
      </c>
      <c r="D824" s="89" t="s">
        <v>666</v>
      </c>
    </row>
    <row r="825" spans="1:4" x14ac:dyDescent="0.25">
      <c r="A825" s="89" t="s">
        <v>101</v>
      </c>
      <c r="B825" s="89" t="s">
        <v>617</v>
      </c>
      <c r="C825" s="89">
        <v>2739533</v>
      </c>
      <c r="D825" s="89" t="s">
        <v>664</v>
      </c>
    </row>
    <row r="826" spans="1:4" x14ac:dyDescent="0.25">
      <c r="A826" s="89" t="s">
        <v>101</v>
      </c>
      <c r="B826" s="89" t="s">
        <v>617</v>
      </c>
      <c r="C826" s="89">
        <v>3450154</v>
      </c>
      <c r="D826" s="89" t="s">
        <v>663</v>
      </c>
    </row>
    <row r="827" spans="1:4" x14ac:dyDescent="0.25">
      <c r="A827" s="89" t="s">
        <v>101</v>
      </c>
      <c r="B827" s="89" t="s">
        <v>617</v>
      </c>
      <c r="C827" s="89">
        <v>2865987</v>
      </c>
      <c r="D827" s="89" t="s">
        <v>663</v>
      </c>
    </row>
    <row r="828" spans="1:4" x14ac:dyDescent="0.25">
      <c r="A828" s="89" t="s">
        <v>101</v>
      </c>
      <c r="B828" s="89" t="s">
        <v>617</v>
      </c>
      <c r="C828" s="89">
        <v>1842093.14</v>
      </c>
      <c r="D828" s="89" t="s">
        <v>663</v>
      </c>
    </row>
    <row r="829" spans="1:4" x14ac:dyDescent="0.25">
      <c r="A829" s="89" t="s">
        <v>101</v>
      </c>
      <c r="B829" s="89" t="s">
        <v>617</v>
      </c>
      <c r="C829" s="89">
        <v>2579881.8199999998</v>
      </c>
      <c r="D829" s="89" t="s">
        <v>664</v>
      </c>
    </row>
    <row r="830" spans="1:4" x14ac:dyDescent="0.25">
      <c r="A830" s="89" t="s">
        <v>101</v>
      </c>
      <c r="B830" s="89" t="s">
        <v>617</v>
      </c>
      <c r="C830" s="89">
        <v>473220</v>
      </c>
      <c r="D830" s="89" t="s">
        <v>666</v>
      </c>
    </row>
    <row r="831" spans="1:4" x14ac:dyDescent="0.25">
      <c r="A831" s="89" t="s">
        <v>101</v>
      </c>
      <c r="B831" s="89" t="s">
        <v>617</v>
      </c>
      <c r="C831" s="89">
        <v>1565258</v>
      </c>
      <c r="D831" s="89" t="s">
        <v>664</v>
      </c>
    </row>
    <row r="832" spans="1:4" x14ac:dyDescent="0.25">
      <c r="A832" s="89" t="s">
        <v>101</v>
      </c>
      <c r="B832" s="89" t="s">
        <v>617</v>
      </c>
      <c r="C832" s="89">
        <v>1435300</v>
      </c>
      <c r="D832" s="89" t="s">
        <v>664</v>
      </c>
    </row>
    <row r="833" spans="1:4" x14ac:dyDescent="0.25">
      <c r="A833" s="89" t="s">
        <v>101</v>
      </c>
      <c r="B833" s="89" t="s">
        <v>617</v>
      </c>
      <c r="C833" s="89">
        <v>347730</v>
      </c>
      <c r="D833" s="89" t="s">
        <v>666</v>
      </c>
    </row>
    <row r="834" spans="1:4" x14ac:dyDescent="0.25">
      <c r="A834" s="89" t="s">
        <v>101</v>
      </c>
      <c r="B834" s="89" t="s">
        <v>617</v>
      </c>
      <c r="C834" s="89">
        <v>16874132.920000002</v>
      </c>
      <c r="D834" s="89" t="s">
        <v>663</v>
      </c>
    </row>
    <row r="835" spans="1:4" x14ac:dyDescent="0.25">
      <c r="A835" s="89" t="s">
        <v>101</v>
      </c>
      <c r="B835" s="89" t="s">
        <v>617</v>
      </c>
      <c r="C835" s="89">
        <v>372432.17</v>
      </c>
      <c r="D835" s="89" t="s">
        <v>666</v>
      </c>
    </row>
    <row r="836" spans="1:4" x14ac:dyDescent="0.25">
      <c r="A836" s="89" t="s">
        <v>101</v>
      </c>
      <c r="B836" s="89" t="s">
        <v>617</v>
      </c>
      <c r="C836" s="89">
        <v>1730068.25</v>
      </c>
      <c r="D836" s="89" t="s">
        <v>663</v>
      </c>
    </row>
    <row r="837" spans="1:4" x14ac:dyDescent="0.25">
      <c r="A837" s="89" t="s">
        <v>101</v>
      </c>
      <c r="B837" s="89" t="s">
        <v>617</v>
      </c>
      <c r="C837" s="89">
        <v>663458.57999999996</v>
      </c>
      <c r="D837" s="89" t="s">
        <v>666</v>
      </c>
    </row>
    <row r="838" spans="1:4" x14ac:dyDescent="0.25">
      <c r="A838" s="89" t="s">
        <v>57</v>
      </c>
      <c r="B838" s="89" t="s">
        <v>616</v>
      </c>
      <c r="C838" s="89">
        <v>1382399</v>
      </c>
      <c r="D838" s="89" t="s">
        <v>666</v>
      </c>
    </row>
    <row r="839" spans="1:4" x14ac:dyDescent="0.25">
      <c r="A839" s="89" t="s">
        <v>57</v>
      </c>
      <c r="B839" s="89" t="s">
        <v>616</v>
      </c>
      <c r="C839" s="89">
        <v>762829</v>
      </c>
      <c r="D839" s="89" t="s">
        <v>663</v>
      </c>
    </row>
    <row r="840" spans="1:4" x14ac:dyDescent="0.25">
      <c r="A840" s="89" t="s">
        <v>57</v>
      </c>
      <c r="B840" s="89" t="s">
        <v>616</v>
      </c>
      <c r="C840" s="89">
        <v>1163391</v>
      </c>
      <c r="D840" s="89" t="s">
        <v>663</v>
      </c>
    </row>
    <row r="841" spans="1:4" x14ac:dyDescent="0.25">
      <c r="A841" s="89" t="s">
        <v>57</v>
      </c>
      <c r="B841" s="89" t="s">
        <v>616</v>
      </c>
      <c r="C841" s="89">
        <v>2484242</v>
      </c>
      <c r="D841" s="89" t="s">
        <v>664</v>
      </c>
    </row>
    <row r="842" spans="1:4" x14ac:dyDescent="0.25">
      <c r="A842" s="89" t="s">
        <v>57</v>
      </c>
      <c r="B842" s="89" t="s">
        <v>616</v>
      </c>
      <c r="C842" s="89">
        <v>291212.5</v>
      </c>
      <c r="D842" s="89" t="s">
        <v>666</v>
      </c>
    </row>
    <row r="843" spans="1:4" x14ac:dyDescent="0.25">
      <c r="A843" s="89" t="s">
        <v>57</v>
      </c>
      <c r="B843" s="89" t="s">
        <v>616</v>
      </c>
      <c r="C843" s="89">
        <v>6557467</v>
      </c>
      <c r="D843" s="89" t="s">
        <v>663</v>
      </c>
    </row>
    <row r="844" spans="1:4" x14ac:dyDescent="0.25">
      <c r="A844" s="89" t="s">
        <v>57</v>
      </c>
      <c r="B844" s="89" t="s">
        <v>616</v>
      </c>
      <c r="C844" s="89">
        <v>1886215</v>
      </c>
      <c r="D844" s="89" t="s">
        <v>664</v>
      </c>
    </row>
    <row r="845" spans="1:4" x14ac:dyDescent="0.25">
      <c r="A845" s="89" t="s">
        <v>57</v>
      </c>
      <c r="B845" s="89" t="s">
        <v>616</v>
      </c>
      <c r="C845" s="89">
        <v>3532337</v>
      </c>
      <c r="D845" s="89" t="s">
        <v>664</v>
      </c>
    </row>
    <row r="846" spans="1:4" x14ac:dyDescent="0.25">
      <c r="A846" s="89" t="s">
        <v>57</v>
      </c>
      <c r="B846" s="89" t="s">
        <v>616</v>
      </c>
      <c r="C846" s="89">
        <v>240454</v>
      </c>
      <c r="D846" s="89" t="s">
        <v>666</v>
      </c>
    </row>
    <row r="847" spans="1:4" x14ac:dyDescent="0.25">
      <c r="A847" s="89" t="s">
        <v>57</v>
      </c>
      <c r="B847" s="89" t="s">
        <v>616</v>
      </c>
      <c r="C847" s="89">
        <v>3534055.46</v>
      </c>
      <c r="D847" s="89" t="s">
        <v>663</v>
      </c>
    </row>
    <row r="848" spans="1:4" x14ac:dyDescent="0.25">
      <c r="A848" s="89" t="s">
        <v>57</v>
      </c>
      <c r="B848" s="89" t="s">
        <v>616</v>
      </c>
      <c r="C848" s="89">
        <v>1051485</v>
      </c>
      <c r="D848" s="89" t="s">
        <v>663</v>
      </c>
    </row>
    <row r="849" spans="1:4" x14ac:dyDescent="0.25">
      <c r="A849" s="89" t="s">
        <v>57</v>
      </c>
      <c r="B849" s="89" t="s">
        <v>616</v>
      </c>
      <c r="C849" s="89">
        <v>2511604</v>
      </c>
      <c r="D849" s="89" t="s">
        <v>664</v>
      </c>
    </row>
    <row r="850" spans="1:4" x14ac:dyDescent="0.25">
      <c r="A850" s="89" t="s">
        <v>57</v>
      </c>
      <c r="B850" s="89" t="s">
        <v>616</v>
      </c>
      <c r="C850" s="89">
        <v>778499</v>
      </c>
      <c r="D850" s="89" t="s">
        <v>663</v>
      </c>
    </row>
    <row r="851" spans="1:4" x14ac:dyDescent="0.25">
      <c r="A851" s="89" t="s">
        <v>57</v>
      </c>
      <c r="B851" s="89" t="s">
        <v>616</v>
      </c>
      <c r="C851" s="89">
        <v>1623445</v>
      </c>
      <c r="D851" s="89" t="s">
        <v>664</v>
      </c>
    </row>
    <row r="852" spans="1:4" x14ac:dyDescent="0.25">
      <c r="A852" s="89" t="s">
        <v>57</v>
      </c>
      <c r="B852" s="89" t="s">
        <v>616</v>
      </c>
      <c r="C852" s="89">
        <v>1792827</v>
      </c>
      <c r="D852" s="89" t="s">
        <v>663</v>
      </c>
    </row>
    <row r="853" spans="1:4" x14ac:dyDescent="0.25">
      <c r="A853" s="89" t="s">
        <v>57</v>
      </c>
      <c r="B853" s="89" t="s">
        <v>616</v>
      </c>
      <c r="C853" s="89">
        <v>420227</v>
      </c>
      <c r="D853" s="89" t="s">
        <v>666</v>
      </c>
    </row>
    <row r="854" spans="1:4" x14ac:dyDescent="0.25">
      <c r="A854" s="89" t="s">
        <v>57</v>
      </c>
      <c r="B854" s="89" t="s">
        <v>616</v>
      </c>
      <c r="C854" s="89">
        <v>1031808.04</v>
      </c>
      <c r="D854" s="89" t="s">
        <v>663</v>
      </c>
    </row>
    <row r="855" spans="1:4" x14ac:dyDescent="0.25">
      <c r="A855" s="89" t="s">
        <v>57</v>
      </c>
      <c r="B855" s="89" t="s">
        <v>616</v>
      </c>
      <c r="C855" s="89">
        <v>1642903.54</v>
      </c>
      <c r="D855" s="89" t="s">
        <v>663</v>
      </c>
    </row>
    <row r="856" spans="1:4" x14ac:dyDescent="0.25">
      <c r="A856" s="89" t="s">
        <v>57</v>
      </c>
      <c r="B856" s="89" t="s">
        <v>616</v>
      </c>
      <c r="C856" s="89">
        <v>127331.92</v>
      </c>
      <c r="D856" s="89" t="s">
        <v>666</v>
      </c>
    </row>
    <row r="857" spans="1:4" x14ac:dyDescent="0.25">
      <c r="A857" s="89" t="s">
        <v>57</v>
      </c>
      <c r="B857" s="89" t="s">
        <v>616</v>
      </c>
      <c r="C857" s="89">
        <v>3351701.73</v>
      </c>
      <c r="D857" s="89" t="s">
        <v>664</v>
      </c>
    </row>
    <row r="858" spans="1:4" x14ac:dyDescent="0.25">
      <c r="A858" s="89" t="s">
        <v>57</v>
      </c>
      <c r="B858" s="89" t="s">
        <v>616</v>
      </c>
      <c r="C858" s="89">
        <v>898538.14</v>
      </c>
      <c r="D858" s="89" t="s">
        <v>663</v>
      </c>
    </row>
    <row r="859" spans="1:4" x14ac:dyDescent="0.25">
      <c r="A859" s="89" t="s">
        <v>57</v>
      </c>
      <c r="B859" s="89" t="s">
        <v>616</v>
      </c>
      <c r="C859" s="89">
        <v>598195.13</v>
      </c>
      <c r="D859" s="89" t="s">
        <v>663</v>
      </c>
    </row>
    <row r="860" spans="1:4" x14ac:dyDescent="0.25">
      <c r="A860" s="89" t="s">
        <v>57</v>
      </c>
      <c r="B860" s="89" t="s">
        <v>616</v>
      </c>
      <c r="C860" s="89">
        <v>1128589</v>
      </c>
      <c r="D860" s="89" t="s">
        <v>666</v>
      </c>
    </row>
    <row r="861" spans="1:4" x14ac:dyDescent="0.25">
      <c r="A861" s="89" t="s">
        <v>57</v>
      </c>
      <c r="B861" s="89" t="s">
        <v>616</v>
      </c>
      <c r="C861" s="89">
        <v>2241314.08</v>
      </c>
      <c r="D861" s="89" t="s">
        <v>664</v>
      </c>
    </row>
    <row r="862" spans="1:4" x14ac:dyDescent="0.25">
      <c r="A862" s="89" t="s">
        <v>57</v>
      </c>
      <c r="B862" s="89" t="s">
        <v>616</v>
      </c>
      <c r="C862" s="89">
        <v>7115841.6299999999</v>
      </c>
      <c r="D862" s="89" t="s">
        <v>663</v>
      </c>
    </row>
    <row r="863" spans="1:4" x14ac:dyDescent="0.25">
      <c r="A863" s="89" t="s">
        <v>57</v>
      </c>
      <c r="B863" s="89" t="s">
        <v>616</v>
      </c>
      <c r="C863" s="89">
        <v>389667.31</v>
      </c>
      <c r="D863" s="89" t="s">
        <v>663</v>
      </c>
    </row>
    <row r="864" spans="1:4" x14ac:dyDescent="0.25">
      <c r="A864" s="89" t="s">
        <v>57</v>
      </c>
      <c r="B864" s="89" t="s">
        <v>616</v>
      </c>
      <c r="C864" s="89">
        <v>5338761.13</v>
      </c>
      <c r="D864" s="89" t="s">
        <v>663</v>
      </c>
    </row>
    <row r="865" spans="1:4" x14ac:dyDescent="0.25">
      <c r="A865" s="89" t="s">
        <v>57</v>
      </c>
      <c r="B865" s="89" t="s">
        <v>616</v>
      </c>
      <c r="C865" s="89">
        <v>814015.93</v>
      </c>
      <c r="D865" s="89" t="s">
        <v>664</v>
      </c>
    </row>
    <row r="866" spans="1:4" x14ac:dyDescent="0.25">
      <c r="A866" s="89" t="s">
        <v>57</v>
      </c>
      <c r="B866" s="89" t="s">
        <v>616</v>
      </c>
      <c r="C866" s="89">
        <v>2299138.0699999998</v>
      </c>
      <c r="D866" s="89" t="s">
        <v>664</v>
      </c>
    </row>
    <row r="867" spans="1:4" x14ac:dyDescent="0.25">
      <c r="A867" s="89" t="s">
        <v>57</v>
      </c>
      <c r="B867" s="89" t="s">
        <v>616</v>
      </c>
      <c r="C867" s="89">
        <v>3960003.84</v>
      </c>
      <c r="D867" s="89" t="s">
        <v>664</v>
      </c>
    </row>
    <row r="868" spans="1:4" x14ac:dyDescent="0.25">
      <c r="A868" s="89" t="s">
        <v>57</v>
      </c>
      <c r="B868" s="89" t="s">
        <v>616</v>
      </c>
      <c r="C868" s="89">
        <v>903029.61</v>
      </c>
      <c r="D868" s="89" t="s">
        <v>666</v>
      </c>
    </row>
    <row r="869" spans="1:4" x14ac:dyDescent="0.25">
      <c r="A869" s="89" t="s">
        <v>57</v>
      </c>
      <c r="B869" s="89" t="s">
        <v>616</v>
      </c>
      <c r="C869" s="89">
        <v>10757355</v>
      </c>
      <c r="D869" s="89" t="s">
        <v>663</v>
      </c>
    </row>
    <row r="870" spans="1:4" x14ac:dyDescent="0.25">
      <c r="A870" s="89" t="s">
        <v>57</v>
      </c>
      <c r="B870" s="89" t="s">
        <v>616</v>
      </c>
      <c r="C870" s="89">
        <v>1008310.47</v>
      </c>
      <c r="D870" s="89" t="s">
        <v>664</v>
      </c>
    </row>
    <row r="871" spans="1:4" x14ac:dyDescent="0.25">
      <c r="A871" s="89" t="s">
        <v>57</v>
      </c>
      <c r="B871" s="89" t="s">
        <v>616</v>
      </c>
      <c r="C871" s="89">
        <v>439127.4</v>
      </c>
      <c r="D871" s="89" t="s">
        <v>663</v>
      </c>
    </row>
    <row r="872" spans="1:4" x14ac:dyDescent="0.25">
      <c r="A872" s="89" t="s">
        <v>57</v>
      </c>
      <c r="B872" s="89" t="s">
        <v>616</v>
      </c>
      <c r="C872" s="89">
        <v>2602007.66</v>
      </c>
      <c r="D872" s="89" t="s">
        <v>664</v>
      </c>
    </row>
    <row r="873" spans="1:4" x14ac:dyDescent="0.25">
      <c r="A873" s="89" t="s">
        <v>57</v>
      </c>
      <c r="B873" s="89" t="s">
        <v>616</v>
      </c>
      <c r="C873" s="89">
        <v>170856.64</v>
      </c>
      <c r="D873" s="89" t="s">
        <v>666</v>
      </c>
    </row>
    <row r="874" spans="1:4" x14ac:dyDescent="0.25">
      <c r="A874" s="89" t="s">
        <v>57</v>
      </c>
      <c r="B874" s="89" t="s">
        <v>616</v>
      </c>
      <c r="C874" s="89">
        <v>707601</v>
      </c>
      <c r="D874" s="89" t="s">
        <v>663</v>
      </c>
    </row>
    <row r="875" spans="1:4" x14ac:dyDescent="0.25">
      <c r="A875" s="89" t="s">
        <v>57</v>
      </c>
      <c r="B875" s="89" t="s">
        <v>616</v>
      </c>
      <c r="C875" s="89">
        <v>1251955</v>
      </c>
      <c r="D875" s="89" t="s">
        <v>663</v>
      </c>
    </row>
    <row r="876" spans="1:4" x14ac:dyDescent="0.25">
      <c r="A876" s="89" t="s">
        <v>57</v>
      </c>
      <c r="B876" s="89" t="s">
        <v>616</v>
      </c>
      <c r="C876" s="89">
        <v>1373667.68</v>
      </c>
      <c r="D876" s="89" t="s">
        <v>664</v>
      </c>
    </row>
    <row r="877" spans="1:4" x14ac:dyDescent="0.25">
      <c r="A877" s="89" t="s">
        <v>57</v>
      </c>
      <c r="B877" s="89" t="s">
        <v>616</v>
      </c>
      <c r="C877" s="89">
        <v>478040.97</v>
      </c>
      <c r="D877" s="89" t="s">
        <v>664</v>
      </c>
    </row>
    <row r="878" spans="1:4" x14ac:dyDescent="0.25">
      <c r="A878" s="89" t="s">
        <v>57</v>
      </c>
      <c r="B878" s="89" t="s">
        <v>616</v>
      </c>
      <c r="C878" s="89">
        <v>2880406.52</v>
      </c>
      <c r="D878" s="89" t="s">
        <v>663</v>
      </c>
    </row>
    <row r="879" spans="1:4" x14ac:dyDescent="0.25">
      <c r="A879" s="89" t="s">
        <v>57</v>
      </c>
      <c r="B879" s="89" t="s">
        <v>616</v>
      </c>
      <c r="C879" s="89">
        <v>520355.49</v>
      </c>
      <c r="D879" s="89" t="s">
        <v>664</v>
      </c>
    </row>
    <row r="880" spans="1:4" x14ac:dyDescent="0.25">
      <c r="A880" s="89" t="s">
        <v>57</v>
      </c>
      <c r="B880" s="89" t="s">
        <v>616</v>
      </c>
      <c r="C880" s="89">
        <v>2114700</v>
      </c>
      <c r="D880" s="89" t="s">
        <v>664</v>
      </c>
    </row>
    <row r="881" spans="1:4" x14ac:dyDescent="0.25">
      <c r="A881" s="89" t="s">
        <v>57</v>
      </c>
      <c r="B881" s="89" t="s">
        <v>616</v>
      </c>
      <c r="C881" s="89">
        <v>1560000</v>
      </c>
      <c r="D881" s="89" t="s">
        <v>664</v>
      </c>
    </row>
    <row r="882" spans="1:4" x14ac:dyDescent="0.25">
      <c r="A882" s="89" t="s">
        <v>57</v>
      </c>
      <c r="B882" s="89" t="s">
        <v>616</v>
      </c>
      <c r="C882" s="89">
        <v>4001406.87</v>
      </c>
      <c r="D882" s="89" t="s">
        <v>663</v>
      </c>
    </row>
    <row r="883" spans="1:4" x14ac:dyDescent="0.25">
      <c r="A883" s="89" t="s">
        <v>57</v>
      </c>
      <c r="B883" s="89" t="s">
        <v>616</v>
      </c>
      <c r="C883" s="89">
        <v>1840996.08</v>
      </c>
      <c r="D883" s="89" t="s">
        <v>666</v>
      </c>
    </row>
    <row r="884" spans="1:4" x14ac:dyDescent="0.25">
      <c r="A884" s="89" t="s">
        <v>57</v>
      </c>
      <c r="B884" s="89" t="s">
        <v>616</v>
      </c>
      <c r="C884" s="89">
        <v>3623174.92</v>
      </c>
      <c r="D884" s="89" t="s">
        <v>664</v>
      </c>
    </row>
    <row r="885" spans="1:4" x14ac:dyDescent="0.25">
      <c r="A885" s="89" t="s">
        <v>57</v>
      </c>
      <c r="B885" s="89" t="s">
        <v>616</v>
      </c>
      <c r="C885" s="89">
        <v>2165009</v>
      </c>
      <c r="D885" s="89" t="s">
        <v>664</v>
      </c>
    </row>
    <row r="886" spans="1:4" x14ac:dyDescent="0.25">
      <c r="A886" s="89" t="s">
        <v>57</v>
      </c>
      <c r="B886" s="89" t="s">
        <v>616</v>
      </c>
      <c r="C886" s="89">
        <v>669357.11</v>
      </c>
      <c r="D886" s="89" t="s">
        <v>663</v>
      </c>
    </row>
    <row r="887" spans="1:4" x14ac:dyDescent="0.25">
      <c r="A887" s="89" t="s">
        <v>57</v>
      </c>
      <c r="B887" s="89" t="s">
        <v>616</v>
      </c>
      <c r="C887" s="89">
        <v>269226.12</v>
      </c>
      <c r="D887" s="89" t="s">
        <v>666</v>
      </c>
    </row>
    <row r="888" spans="1:4" x14ac:dyDescent="0.25">
      <c r="A888" s="89" t="s">
        <v>57</v>
      </c>
      <c r="B888" s="89" t="s">
        <v>616</v>
      </c>
      <c r="C888" s="89">
        <v>1180770</v>
      </c>
      <c r="D888" s="89" t="s">
        <v>664</v>
      </c>
    </row>
    <row r="889" spans="1:4" x14ac:dyDescent="0.25">
      <c r="A889" s="89" t="s">
        <v>57</v>
      </c>
      <c r="B889" s="89" t="s">
        <v>616</v>
      </c>
      <c r="C889" s="89">
        <v>9393096</v>
      </c>
      <c r="D889" s="89" t="s">
        <v>663</v>
      </c>
    </row>
    <row r="890" spans="1:4" x14ac:dyDescent="0.25">
      <c r="A890" s="89" t="s">
        <v>57</v>
      </c>
      <c r="B890" s="89" t="s">
        <v>616</v>
      </c>
      <c r="C890" s="89">
        <v>10096412.220000001</v>
      </c>
      <c r="D890" s="89" t="s">
        <v>663</v>
      </c>
    </row>
    <row r="891" spans="1:4" x14ac:dyDescent="0.25">
      <c r="A891" s="89" t="s">
        <v>57</v>
      </c>
      <c r="B891" s="89" t="s">
        <v>616</v>
      </c>
      <c r="C891" s="89">
        <v>2892881.49</v>
      </c>
      <c r="D891" s="89" t="s">
        <v>663</v>
      </c>
    </row>
    <row r="892" spans="1:4" x14ac:dyDescent="0.25">
      <c r="A892" s="89" t="s">
        <v>57</v>
      </c>
      <c r="B892" s="89" t="s">
        <v>616</v>
      </c>
      <c r="C892" s="89">
        <v>5774514.04</v>
      </c>
      <c r="D892" s="89" t="s">
        <v>663</v>
      </c>
    </row>
    <row r="893" spans="1:4" x14ac:dyDescent="0.25">
      <c r="A893" s="89" t="s">
        <v>57</v>
      </c>
      <c r="B893" s="89" t="s">
        <v>616</v>
      </c>
      <c r="C893" s="89">
        <v>1700769.99</v>
      </c>
      <c r="D893" s="89" t="s">
        <v>664</v>
      </c>
    </row>
    <row r="894" spans="1:4" x14ac:dyDescent="0.25">
      <c r="A894" s="89" t="s">
        <v>57</v>
      </c>
      <c r="B894" s="89" t="s">
        <v>616</v>
      </c>
      <c r="C894" s="89">
        <v>545493.16</v>
      </c>
      <c r="D894" s="89" t="s">
        <v>666</v>
      </c>
    </row>
    <row r="895" spans="1:4" x14ac:dyDescent="0.25">
      <c r="A895" s="89" t="s">
        <v>57</v>
      </c>
      <c r="B895" s="89" t="s">
        <v>616</v>
      </c>
      <c r="C895" s="89">
        <v>2688448.52</v>
      </c>
      <c r="D895" s="89" t="s">
        <v>663</v>
      </c>
    </row>
    <row r="896" spans="1:4" x14ac:dyDescent="0.25">
      <c r="A896" s="89" t="s">
        <v>57</v>
      </c>
      <c r="B896" s="89" t="s">
        <v>616</v>
      </c>
      <c r="C896" s="89">
        <v>4103026.9</v>
      </c>
      <c r="D896" s="89" t="s">
        <v>663</v>
      </c>
    </row>
    <row r="897" spans="1:4" x14ac:dyDescent="0.25">
      <c r="A897" s="89" t="s">
        <v>57</v>
      </c>
      <c r="B897" s="89" t="s">
        <v>616</v>
      </c>
      <c r="C897" s="89">
        <v>7964538.1900000004</v>
      </c>
      <c r="D897" s="89" t="s">
        <v>664</v>
      </c>
    </row>
    <row r="898" spans="1:4" x14ac:dyDescent="0.25">
      <c r="A898" s="89" t="s">
        <v>57</v>
      </c>
      <c r="B898" s="89" t="s">
        <v>616</v>
      </c>
      <c r="C898" s="89">
        <v>2271991.98</v>
      </c>
      <c r="D898" s="89" t="s">
        <v>664</v>
      </c>
    </row>
    <row r="899" spans="1:4" x14ac:dyDescent="0.25">
      <c r="A899" s="89" t="s">
        <v>57</v>
      </c>
      <c r="B899" s="89" t="s">
        <v>616</v>
      </c>
      <c r="C899" s="89">
        <v>50190401.219999999</v>
      </c>
      <c r="D899" s="89" t="s">
        <v>664</v>
      </c>
    </row>
    <row r="900" spans="1:4" x14ac:dyDescent="0.25">
      <c r="A900" s="89" t="s">
        <v>57</v>
      </c>
      <c r="B900" s="89" t="s">
        <v>616</v>
      </c>
      <c r="C900" s="89">
        <v>2261391.96</v>
      </c>
      <c r="D900" s="89" t="s">
        <v>663</v>
      </c>
    </row>
    <row r="901" spans="1:4" x14ac:dyDescent="0.25">
      <c r="A901" s="89" t="s">
        <v>57</v>
      </c>
      <c r="B901" s="89" t="s">
        <v>616</v>
      </c>
      <c r="C901" s="89">
        <v>821779.7</v>
      </c>
      <c r="D901" s="89" t="s">
        <v>664</v>
      </c>
    </row>
    <row r="902" spans="1:4" x14ac:dyDescent="0.25">
      <c r="A902" s="89" t="s">
        <v>56</v>
      </c>
      <c r="B902" s="89" t="s">
        <v>616</v>
      </c>
      <c r="C902" s="89">
        <v>463071</v>
      </c>
      <c r="D902" s="89" t="s">
        <v>663</v>
      </c>
    </row>
    <row r="903" spans="1:4" x14ac:dyDescent="0.25">
      <c r="A903" s="89" t="s">
        <v>56</v>
      </c>
      <c r="B903" s="89" t="s">
        <v>616</v>
      </c>
      <c r="C903" s="89">
        <v>502671.61</v>
      </c>
      <c r="D903" s="89" t="s">
        <v>663</v>
      </c>
    </row>
    <row r="904" spans="1:4" x14ac:dyDescent="0.25">
      <c r="A904" s="89" t="s">
        <v>56</v>
      </c>
      <c r="B904" s="89" t="s">
        <v>616</v>
      </c>
      <c r="C904" s="89">
        <v>186986</v>
      </c>
      <c r="D904" s="89" t="s">
        <v>663</v>
      </c>
    </row>
    <row r="905" spans="1:4" x14ac:dyDescent="0.25">
      <c r="A905" s="89" t="s">
        <v>56</v>
      </c>
      <c r="B905" s="89" t="s">
        <v>616</v>
      </c>
      <c r="C905" s="89">
        <v>295983.33</v>
      </c>
      <c r="D905" s="89" t="s">
        <v>663</v>
      </c>
    </row>
    <row r="906" spans="1:4" x14ac:dyDescent="0.25">
      <c r="A906" s="89" t="s">
        <v>56</v>
      </c>
      <c r="B906" s="89" t="s">
        <v>616</v>
      </c>
      <c r="C906" s="89">
        <v>578839.28</v>
      </c>
      <c r="D906" s="89" t="s">
        <v>663</v>
      </c>
    </row>
    <row r="907" spans="1:4" x14ac:dyDescent="0.25">
      <c r="A907" s="89" t="s">
        <v>56</v>
      </c>
      <c r="B907" s="89" t="s">
        <v>616</v>
      </c>
      <c r="C907" s="89">
        <v>689000</v>
      </c>
      <c r="D907" s="89" t="s">
        <v>663</v>
      </c>
    </row>
    <row r="908" spans="1:4" x14ac:dyDescent="0.25">
      <c r="A908" s="89" t="s">
        <v>56</v>
      </c>
      <c r="B908" s="89" t="s">
        <v>616</v>
      </c>
      <c r="C908" s="89">
        <v>133433</v>
      </c>
      <c r="D908" s="89" t="s">
        <v>663</v>
      </c>
    </row>
    <row r="909" spans="1:4" x14ac:dyDescent="0.25">
      <c r="A909" s="89" t="s">
        <v>100</v>
      </c>
      <c r="B909" s="89" t="s">
        <v>617</v>
      </c>
      <c r="C909" s="89">
        <v>328424</v>
      </c>
      <c r="D909" s="89" t="s">
        <v>666</v>
      </c>
    </row>
    <row r="910" spans="1:4" x14ac:dyDescent="0.25">
      <c r="A910" s="89" t="s">
        <v>100</v>
      </c>
      <c r="B910" s="89" t="s">
        <v>617</v>
      </c>
      <c r="C910" s="89">
        <v>734373</v>
      </c>
      <c r="D910" s="89" t="s">
        <v>663</v>
      </c>
    </row>
    <row r="911" spans="1:4" x14ac:dyDescent="0.25">
      <c r="A911" s="89" t="s">
        <v>100</v>
      </c>
      <c r="B911" s="89" t="s">
        <v>617</v>
      </c>
      <c r="C911" s="89">
        <v>3154772</v>
      </c>
      <c r="D911" s="89" t="s">
        <v>664</v>
      </c>
    </row>
    <row r="912" spans="1:4" x14ac:dyDescent="0.25">
      <c r="A912" s="89" t="s">
        <v>100</v>
      </c>
      <c r="B912" s="89" t="s">
        <v>617</v>
      </c>
      <c r="C912" s="89">
        <v>400195</v>
      </c>
      <c r="D912" s="89" t="s">
        <v>666</v>
      </c>
    </row>
    <row r="913" spans="1:4" x14ac:dyDescent="0.25">
      <c r="A913" s="89" t="s">
        <v>100</v>
      </c>
      <c r="B913" s="89" t="s">
        <v>617</v>
      </c>
      <c r="C913" s="89">
        <v>1664046</v>
      </c>
      <c r="D913" s="89" t="s">
        <v>663</v>
      </c>
    </row>
    <row r="914" spans="1:4" x14ac:dyDescent="0.25">
      <c r="A914" s="89" t="s">
        <v>100</v>
      </c>
      <c r="B914" s="89" t="s">
        <v>617</v>
      </c>
      <c r="C914" s="89">
        <v>1678756</v>
      </c>
      <c r="D914" s="89" t="s">
        <v>663</v>
      </c>
    </row>
    <row r="915" spans="1:4" x14ac:dyDescent="0.25">
      <c r="A915" s="89" t="s">
        <v>100</v>
      </c>
      <c r="B915" s="89" t="s">
        <v>617</v>
      </c>
      <c r="C915" s="89">
        <v>255193.86</v>
      </c>
      <c r="D915" s="89" t="s">
        <v>664</v>
      </c>
    </row>
    <row r="916" spans="1:4" x14ac:dyDescent="0.25">
      <c r="A916" s="89" t="s">
        <v>100</v>
      </c>
      <c r="B916" s="89" t="s">
        <v>617</v>
      </c>
      <c r="C916" s="89">
        <v>3674934</v>
      </c>
      <c r="D916" s="89" t="s">
        <v>663</v>
      </c>
    </row>
    <row r="917" spans="1:4" x14ac:dyDescent="0.25">
      <c r="A917" s="89" t="s">
        <v>100</v>
      </c>
      <c r="B917" s="89" t="s">
        <v>617</v>
      </c>
      <c r="C917" s="89">
        <v>1579209</v>
      </c>
      <c r="D917" s="89" t="s">
        <v>663</v>
      </c>
    </row>
    <row r="918" spans="1:4" x14ac:dyDescent="0.25">
      <c r="A918" s="89" t="s">
        <v>100</v>
      </c>
      <c r="B918" s="89" t="s">
        <v>617</v>
      </c>
      <c r="C918" s="89">
        <v>1581792</v>
      </c>
      <c r="D918" s="89" t="s">
        <v>663</v>
      </c>
    </row>
    <row r="919" spans="1:4" x14ac:dyDescent="0.25">
      <c r="A919" s="89" t="s">
        <v>100</v>
      </c>
      <c r="B919" s="89" t="s">
        <v>617</v>
      </c>
      <c r="C919" s="89">
        <v>488405</v>
      </c>
      <c r="D919" s="89" t="s">
        <v>666</v>
      </c>
    </row>
    <row r="920" spans="1:4" x14ac:dyDescent="0.25">
      <c r="A920" s="89" t="s">
        <v>100</v>
      </c>
      <c r="B920" s="89" t="s">
        <v>617</v>
      </c>
      <c r="C920" s="89">
        <v>934621</v>
      </c>
      <c r="D920" s="89" t="s">
        <v>663</v>
      </c>
    </row>
    <row r="921" spans="1:4" x14ac:dyDescent="0.25">
      <c r="A921" s="89" t="s">
        <v>100</v>
      </c>
      <c r="B921" s="89" t="s">
        <v>617</v>
      </c>
      <c r="C921" s="89">
        <v>1872782</v>
      </c>
      <c r="D921" s="89" t="s">
        <v>664</v>
      </c>
    </row>
    <row r="922" spans="1:4" x14ac:dyDescent="0.25">
      <c r="A922" s="89" t="s">
        <v>100</v>
      </c>
      <c r="B922" s="89" t="s">
        <v>617</v>
      </c>
      <c r="C922" s="89">
        <v>2584212</v>
      </c>
      <c r="D922" s="89" t="s">
        <v>663</v>
      </c>
    </row>
    <row r="923" spans="1:4" x14ac:dyDescent="0.25">
      <c r="A923" s="89" t="s">
        <v>100</v>
      </c>
      <c r="B923" s="89" t="s">
        <v>617</v>
      </c>
      <c r="C923" s="89">
        <v>2937865.76</v>
      </c>
      <c r="D923" s="89" t="s">
        <v>663</v>
      </c>
    </row>
    <row r="924" spans="1:4" x14ac:dyDescent="0.25">
      <c r="A924" s="89" t="s">
        <v>100</v>
      </c>
      <c r="B924" s="89" t="s">
        <v>617</v>
      </c>
      <c r="C924" s="89">
        <v>2767833.64</v>
      </c>
      <c r="D924" s="89" t="s">
        <v>663</v>
      </c>
    </row>
    <row r="925" spans="1:4" x14ac:dyDescent="0.25">
      <c r="A925" s="89" t="s">
        <v>100</v>
      </c>
      <c r="B925" s="89" t="s">
        <v>617</v>
      </c>
      <c r="C925" s="89">
        <v>1845868</v>
      </c>
      <c r="D925" s="89" t="s">
        <v>663</v>
      </c>
    </row>
    <row r="926" spans="1:4" x14ac:dyDescent="0.25">
      <c r="A926" s="89" t="s">
        <v>100</v>
      </c>
      <c r="B926" s="89" t="s">
        <v>617</v>
      </c>
      <c r="C926" s="89">
        <v>962050.76</v>
      </c>
      <c r="D926" s="89" t="s">
        <v>664</v>
      </c>
    </row>
    <row r="927" spans="1:4" x14ac:dyDescent="0.25">
      <c r="A927" s="89" t="s">
        <v>100</v>
      </c>
      <c r="B927" s="89" t="s">
        <v>617</v>
      </c>
      <c r="C927" s="89">
        <v>577837.48</v>
      </c>
      <c r="D927" s="89" t="s">
        <v>663</v>
      </c>
    </row>
    <row r="928" spans="1:4" x14ac:dyDescent="0.25">
      <c r="A928" s="89" t="s">
        <v>100</v>
      </c>
      <c r="B928" s="89" t="s">
        <v>617</v>
      </c>
      <c r="C928" s="89">
        <v>58463.56</v>
      </c>
      <c r="D928" s="89" t="s">
        <v>663</v>
      </c>
    </row>
    <row r="929" spans="1:4" x14ac:dyDescent="0.25">
      <c r="A929" s="89" t="s">
        <v>100</v>
      </c>
      <c r="B929" s="89" t="s">
        <v>617</v>
      </c>
      <c r="C929" s="89">
        <v>8903.58</v>
      </c>
      <c r="D929" s="89" t="s">
        <v>663</v>
      </c>
    </row>
    <row r="930" spans="1:4" x14ac:dyDescent="0.25">
      <c r="A930" s="89" t="s">
        <v>100</v>
      </c>
      <c r="B930" s="89" t="s">
        <v>617</v>
      </c>
      <c r="C930" s="89">
        <v>57388.67</v>
      </c>
      <c r="D930" s="89" t="s">
        <v>663</v>
      </c>
    </row>
    <row r="931" spans="1:4" x14ac:dyDescent="0.25">
      <c r="A931" s="89" t="s">
        <v>100</v>
      </c>
      <c r="B931" s="89" t="s">
        <v>617</v>
      </c>
      <c r="C931" s="89">
        <v>41486.769999999997</v>
      </c>
      <c r="D931" s="89" t="s">
        <v>663</v>
      </c>
    </row>
    <row r="932" spans="1:4" x14ac:dyDescent="0.25">
      <c r="A932" s="89" t="s">
        <v>100</v>
      </c>
      <c r="B932" s="89" t="s">
        <v>617</v>
      </c>
      <c r="C932" s="89">
        <v>174274.02</v>
      </c>
      <c r="D932" s="89" t="s">
        <v>663</v>
      </c>
    </row>
    <row r="933" spans="1:4" x14ac:dyDescent="0.25">
      <c r="A933" s="89" t="s">
        <v>100</v>
      </c>
      <c r="B933" s="89" t="s">
        <v>617</v>
      </c>
      <c r="C933" s="89">
        <v>79983.210000000006</v>
      </c>
      <c r="D933" s="89" t="s">
        <v>663</v>
      </c>
    </row>
    <row r="934" spans="1:4" x14ac:dyDescent="0.25">
      <c r="A934" s="89" t="s">
        <v>100</v>
      </c>
      <c r="B934" s="89" t="s">
        <v>617</v>
      </c>
      <c r="C934" s="89">
        <v>538625.74</v>
      </c>
      <c r="D934" s="89" t="s">
        <v>663</v>
      </c>
    </row>
    <row r="935" spans="1:4" x14ac:dyDescent="0.25">
      <c r="A935" s="89" t="s">
        <v>100</v>
      </c>
      <c r="B935" s="89" t="s">
        <v>617</v>
      </c>
      <c r="C935" s="89">
        <v>1125777</v>
      </c>
      <c r="D935" s="89" t="s">
        <v>663</v>
      </c>
    </row>
    <row r="936" spans="1:4" x14ac:dyDescent="0.25">
      <c r="A936" s="89" t="s">
        <v>100</v>
      </c>
      <c r="B936" s="89" t="s">
        <v>617</v>
      </c>
      <c r="C936" s="89">
        <v>2294055.09</v>
      </c>
      <c r="D936" s="89" t="s">
        <v>664</v>
      </c>
    </row>
    <row r="937" spans="1:4" x14ac:dyDescent="0.25">
      <c r="A937" s="89" t="s">
        <v>100</v>
      </c>
      <c r="B937" s="89" t="s">
        <v>617</v>
      </c>
      <c r="C937" s="89">
        <v>274468.27</v>
      </c>
      <c r="D937" s="89" t="s">
        <v>666</v>
      </c>
    </row>
    <row r="938" spans="1:4" x14ac:dyDescent="0.25">
      <c r="A938" s="89" t="s">
        <v>100</v>
      </c>
      <c r="B938" s="89" t="s">
        <v>617</v>
      </c>
      <c r="C938" s="89">
        <v>892999.84</v>
      </c>
      <c r="D938" s="89" t="s">
        <v>663</v>
      </c>
    </row>
    <row r="939" spans="1:4" x14ac:dyDescent="0.25">
      <c r="A939" s="89" t="s">
        <v>100</v>
      </c>
      <c r="B939" s="89" t="s">
        <v>617</v>
      </c>
      <c r="C939" s="89">
        <v>1382341</v>
      </c>
      <c r="D939" s="89" t="s">
        <v>663</v>
      </c>
    </row>
    <row r="940" spans="1:4" x14ac:dyDescent="0.25">
      <c r="A940" s="89" t="s">
        <v>100</v>
      </c>
      <c r="B940" s="89" t="s">
        <v>617</v>
      </c>
      <c r="C940" s="89">
        <v>1747924</v>
      </c>
      <c r="D940" s="89" t="s">
        <v>663</v>
      </c>
    </row>
    <row r="941" spans="1:4" x14ac:dyDescent="0.25">
      <c r="A941" s="89" t="s">
        <v>100</v>
      </c>
      <c r="B941" s="89" t="s">
        <v>617</v>
      </c>
      <c r="C941" s="89">
        <v>1743187</v>
      </c>
      <c r="D941" s="89" t="s">
        <v>663</v>
      </c>
    </row>
    <row r="942" spans="1:4" x14ac:dyDescent="0.25">
      <c r="A942" s="89" t="s">
        <v>100</v>
      </c>
      <c r="B942" s="89" t="s">
        <v>617</v>
      </c>
      <c r="C942" s="89">
        <v>807110</v>
      </c>
      <c r="D942" s="89" t="s">
        <v>664</v>
      </c>
    </row>
    <row r="943" spans="1:4" x14ac:dyDescent="0.25">
      <c r="A943" s="89" t="s">
        <v>100</v>
      </c>
      <c r="B943" s="89" t="s">
        <v>617</v>
      </c>
      <c r="C943" s="89">
        <v>294082</v>
      </c>
      <c r="D943" s="89" t="s">
        <v>666</v>
      </c>
    </row>
    <row r="944" spans="1:4" x14ac:dyDescent="0.25">
      <c r="A944" s="89" t="s">
        <v>100</v>
      </c>
      <c r="B944" s="89" t="s">
        <v>617</v>
      </c>
      <c r="C944" s="89">
        <v>344296</v>
      </c>
      <c r="D944" s="89" t="s">
        <v>666</v>
      </c>
    </row>
    <row r="945" spans="1:4" x14ac:dyDescent="0.25">
      <c r="A945" s="89" t="s">
        <v>100</v>
      </c>
      <c r="B945" s="89" t="s">
        <v>617</v>
      </c>
      <c r="C945" s="89">
        <v>4287672</v>
      </c>
      <c r="D945" s="89" t="s">
        <v>664</v>
      </c>
    </row>
    <row r="946" spans="1:4" x14ac:dyDescent="0.25">
      <c r="A946" s="89" t="s">
        <v>100</v>
      </c>
      <c r="B946" s="89" t="s">
        <v>617</v>
      </c>
      <c r="C946" s="89">
        <v>816489</v>
      </c>
      <c r="D946" s="89" t="s">
        <v>663</v>
      </c>
    </row>
    <row r="947" spans="1:4" x14ac:dyDescent="0.25">
      <c r="A947" s="89" t="s">
        <v>100</v>
      </c>
      <c r="B947" s="89" t="s">
        <v>617</v>
      </c>
      <c r="C947" s="89">
        <v>575304.67000000004</v>
      </c>
      <c r="D947" s="89" t="s">
        <v>663</v>
      </c>
    </row>
    <row r="948" spans="1:4" x14ac:dyDescent="0.25">
      <c r="A948" s="89" t="s">
        <v>100</v>
      </c>
      <c r="B948" s="89" t="s">
        <v>617</v>
      </c>
      <c r="C948" s="89">
        <v>83240.77</v>
      </c>
      <c r="D948" s="89" t="s">
        <v>666</v>
      </c>
    </row>
    <row r="949" spans="1:4" x14ac:dyDescent="0.25">
      <c r="A949" s="89" t="s">
        <v>100</v>
      </c>
      <c r="B949" s="89" t="s">
        <v>617</v>
      </c>
      <c r="C949" s="89">
        <v>853085.56</v>
      </c>
      <c r="D949" s="89" t="s">
        <v>663</v>
      </c>
    </row>
    <row r="950" spans="1:4" x14ac:dyDescent="0.25">
      <c r="A950" s="89" t="s">
        <v>100</v>
      </c>
      <c r="B950" s="89" t="s">
        <v>617</v>
      </c>
      <c r="C950" s="89">
        <v>395863.05</v>
      </c>
      <c r="D950" s="89" t="s">
        <v>663</v>
      </c>
    </row>
    <row r="951" spans="1:4" x14ac:dyDescent="0.25">
      <c r="A951" s="89" t="s">
        <v>100</v>
      </c>
      <c r="B951" s="89" t="s">
        <v>617</v>
      </c>
      <c r="C951" s="89">
        <v>120479.38</v>
      </c>
      <c r="D951" s="89" t="s">
        <v>663</v>
      </c>
    </row>
    <row r="952" spans="1:4" x14ac:dyDescent="0.25">
      <c r="A952" s="89" t="s">
        <v>100</v>
      </c>
      <c r="B952" s="89" t="s">
        <v>617</v>
      </c>
      <c r="C952" s="89">
        <v>256983</v>
      </c>
      <c r="D952" s="89" t="s">
        <v>666</v>
      </c>
    </row>
    <row r="953" spans="1:4" x14ac:dyDescent="0.25">
      <c r="A953" s="89" t="s">
        <v>100</v>
      </c>
      <c r="B953" s="89" t="s">
        <v>617</v>
      </c>
      <c r="C953" s="89">
        <v>1515742</v>
      </c>
      <c r="D953" s="89" t="s">
        <v>663</v>
      </c>
    </row>
    <row r="954" spans="1:4" x14ac:dyDescent="0.25">
      <c r="A954" s="89" t="s">
        <v>100</v>
      </c>
      <c r="B954" s="89" t="s">
        <v>617</v>
      </c>
      <c r="C954" s="89">
        <v>409461.5</v>
      </c>
      <c r="D954" s="89" t="s">
        <v>663</v>
      </c>
    </row>
    <row r="955" spans="1:4" x14ac:dyDescent="0.25">
      <c r="A955" s="89" t="s">
        <v>100</v>
      </c>
      <c r="B955" s="89" t="s">
        <v>617</v>
      </c>
      <c r="C955" s="89">
        <v>1804374</v>
      </c>
      <c r="D955" s="89" t="s">
        <v>663</v>
      </c>
    </row>
    <row r="956" spans="1:4" x14ac:dyDescent="0.25">
      <c r="A956" s="89" t="s">
        <v>100</v>
      </c>
      <c r="B956" s="89" t="s">
        <v>617</v>
      </c>
      <c r="C956" s="89">
        <v>3540580</v>
      </c>
      <c r="D956" s="89" t="s">
        <v>663</v>
      </c>
    </row>
    <row r="957" spans="1:4" x14ac:dyDescent="0.25">
      <c r="A957" s="89" t="s">
        <v>100</v>
      </c>
      <c r="B957" s="89" t="s">
        <v>617</v>
      </c>
      <c r="C957" s="89">
        <v>1172533</v>
      </c>
      <c r="D957" s="89" t="s">
        <v>666</v>
      </c>
    </row>
    <row r="958" spans="1:4" x14ac:dyDescent="0.25">
      <c r="A958" s="89" t="s">
        <v>100</v>
      </c>
      <c r="B958" s="89" t="s">
        <v>617</v>
      </c>
      <c r="C958" s="89">
        <v>1377351</v>
      </c>
      <c r="D958" s="89" t="s">
        <v>663</v>
      </c>
    </row>
    <row r="959" spans="1:4" x14ac:dyDescent="0.25">
      <c r="A959" s="89" t="s">
        <v>100</v>
      </c>
      <c r="B959" s="89" t="s">
        <v>617</v>
      </c>
      <c r="C959" s="89">
        <v>1307803.3799999999</v>
      </c>
      <c r="D959" s="89" t="s">
        <v>663</v>
      </c>
    </row>
    <row r="960" spans="1:4" x14ac:dyDescent="0.25">
      <c r="A960" s="89" t="s">
        <v>100</v>
      </c>
      <c r="B960" s="89" t="s">
        <v>617</v>
      </c>
      <c r="C960" s="89">
        <v>543587.75</v>
      </c>
      <c r="D960" s="89" t="s">
        <v>664</v>
      </c>
    </row>
    <row r="961" spans="1:4" x14ac:dyDescent="0.25">
      <c r="A961" s="89" t="s">
        <v>100</v>
      </c>
      <c r="B961" s="89" t="s">
        <v>617</v>
      </c>
      <c r="C961" s="89">
        <v>101958.09</v>
      </c>
      <c r="D961" s="89" t="s">
        <v>664</v>
      </c>
    </row>
    <row r="962" spans="1:4" x14ac:dyDescent="0.25">
      <c r="A962" s="89" t="s">
        <v>100</v>
      </c>
      <c r="B962" s="89" t="s">
        <v>617</v>
      </c>
      <c r="C962" s="89">
        <v>1475171.68</v>
      </c>
      <c r="D962" s="89" t="s">
        <v>663</v>
      </c>
    </row>
    <row r="963" spans="1:4" x14ac:dyDescent="0.25">
      <c r="A963" s="89" t="s">
        <v>99</v>
      </c>
      <c r="B963" s="89" t="s">
        <v>617</v>
      </c>
      <c r="C963" s="89">
        <v>1900000</v>
      </c>
      <c r="D963" s="89" t="s">
        <v>663</v>
      </c>
    </row>
    <row r="964" spans="1:4" x14ac:dyDescent="0.25">
      <c r="A964" s="89" t="s">
        <v>99</v>
      </c>
      <c r="B964" s="89" t="s">
        <v>617</v>
      </c>
      <c r="C964" s="89">
        <v>998600</v>
      </c>
      <c r="D964" s="89" t="s">
        <v>663</v>
      </c>
    </row>
    <row r="965" spans="1:4" x14ac:dyDescent="0.25">
      <c r="A965" s="89" t="s">
        <v>99</v>
      </c>
      <c r="B965" s="89" t="s">
        <v>617</v>
      </c>
      <c r="C965" s="89">
        <v>110416</v>
      </c>
      <c r="D965" s="89" t="s">
        <v>666</v>
      </c>
    </row>
    <row r="966" spans="1:4" x14ac:dyDescent="0.25">
      <c r="A966" s="89" t="s">
        <v>99</v>
      </c>
      <c r="B966" s="89" t="s">
        <v>617</v>
      </c>
      <c r="C966" s="89">
        <v>914619</v>
      </c>
      <c r="D966" s="89" t="s">
        <v>663</v>
      </c>
    </row>
    <row r="967" spans="1:4" x14ac:dyDescent="0.25">
      <c r="A967" s="89" t="s">
        <v>99</v>
      </c>
      <c r="B967" s="89" t="s">
        <v>617</v>
      </c>
      <c r="C967" s="89">
        <v>467259</v>
      </c>
      <c r="D967" s="89" t="s">
        <v>666</v>
      </c>
    </row>
    <row r="968" spans="1:4" x14ac:dyDescent="0.25">
      <c r="A968" s="89" t="s">
        <v>99</v>
      </c>
      <c r="B968" s="89" t="s">
        <v>617</v>
      </c>
      <c r="C968" s="89">
        <v>102474</v>
      </c>
      <c r="D968" s="89" t="s">
        <v>666</v>
      </c>
    </row>
    <row r="969" spans="1:4" x14ac:dyDescent="0.25">
      <c r="A969" s="89" t="s">
        <v>99</v>
      </c>
      <c r="B969" s="89" t="s">
        <v>617</v>
      </c>
      <c r="C969" s="89">
        <v>1266936</v>
      </c>
      <c r="D969" s="89" t="s">
        <v>663</v>
      </c>
    </row>
    <row r="970" spans="1:4" x14ac:dyDescent="0.25">
      <c r="A970" s="89" t="s">
        <v>99</v>
      </c>
      <c r="B970" s="89" t="s">
        <v>617</v>
      </c>
      <c r="C970" s="89">
        <v>129956</v>
      </c>
      <c r="D970" s="89" t="s">
        <v>666</v>
      </c>
    </row>
    <row r="971" spans="1:4" x14ac:dyDescent="0.25">
      <c r="A971" s="89" t="s">
        <v>99</v>
      </c>
      <c r="B971" s="89" t="s">
        <v>617</v>
      </c>
      <c r="C971" s="89">
        <v>255567</v>
      </c>
      <c r="D971" s="89" t="s">
        <v>666</v>
      </c>
    </row>
    <row r="972" spans="1:4" x14ac:dyDescent="0.25">
      <c r="A972" s="89" t="s">
        <v>99</v>
      </c>
      <c r="B972" s="89" t="s">
        <v>617</v>
      </c>
      <c r="C972" s="89">
        <v>1500000</v>
      </c>
      <c r="D972" s="89" t="s">
        <v>663</v>
      </c>
    </row>
    <row r="973" spans="1:4" x14ac:dyDescent="0.25">
      <c r="A973" s="89" t="s">
        <v>99</v>
      </c>
      <c r="B973" s="89" t="s">
        <v>617</v>
      </c>
      <c r="C973" s="89">
        <v>77694.23</v>
      </c>
      <c r="D973" s="89" t="s">
        <v>666</v>
      </c>
    </row>
    <row r="974" spans="1:4" x14ac:dyDescent="0.25">
      <c r="A974" s="89" t="s">
        <v>99</v>
      </c>
      <c r="B974" s="89" t="s">
        <v>617</v>
      </c>
      <c r="C974" s="89">
        <v>120000</v>
      </c>
      <c r="D974" s="89" t="s">
        <v>666</v>
      </c>
    </row>
    <row r="975" spans="1:4" x14ac:dyDescent="0.25">
      <c r="A975" s="89" t="s">
        <v>99</v>
      </c>
      <c r="B975" s="89" t="s">
        <v>617</v>
      </c>
      <c r="C975" s="89">
        <v>667281.79</v>
      </c>
      <c r="D975" s="89" t="s">
        <v>664</v>
      </c>
    </row>
    <row r="976" spans="1:4" x14ac:dyDescent="0.25">
      <c r="A976" s="89" t="s">
        <v>99</v>
      </c>
      <c r="B976" s="89" t="s">
        <v>617</v>
      </c>
      <c r="C976" s="89">
        <v>180353</v>
      </c>
      <c r="D976" s="89" t="s">
        <v>663</v>
      </c>
    </row>
    <row r="977" spans="1:4" x14ac:dyDescent="0.25">
      <c r="A977" s="89" t="s">
        <v>99</v>
      </c>
      <c r="B977" s="89" t="s">
        <v>617</v>
      </c>
      <c r="C977" s="89">
        <v>1409908</v>
      </c>
      <c r="D977" s="89" t="s">
        <v>664</v>
      </c>
    </row>
    <row r="978" spans="1:4" x14ac:dyDescent="0.25">
      <c r="A978" s="89" t="s">
        <v>99</v>
      </c>
      <c r="B978" s="89" t="s">
        <v>617</v>
      </c>
      <c r="C978" s="89">
        <v>1067737</v>
      </c>
      <c r="D978" s="89" t="s">
        <v>663</v>
      </c>
    </row>
    <row r="979" spans="1:4" x14ac:dyDescent="0.25">
      <c r="A979" s="89" t="s">
        <v>99</v>
      </c>
      <c r="B979" s="89" t="s">
        <v>617</v>
      </c>
      <c r="C979" s="89">
        <v>25698</v>
      </c>
      <c r="D979" s="89" t="s">
        <v>663</v>
      </c>
    </row>
    <row r="980" spans="1:4" x14ac:dyDescent="0.25">
      <c r="A980" s="89" t="s">
        <v>99</v>
      </c>
      <c r="B980" s="89" t="s">
        <v>617</v>
      </c>
      <c r="C980" s="89">
        <v>1966605.11</v>
      </c>
      <c r="D980" s="89" t="s">
        <v>663</v>
      </c>
    </row>
    <row r="981" spans="1:4" x14ac:dyDescent="0.25">
      <c r="A981" s="89" t="s">
        <v>99</v>
      </c>
      <c r="B981" s="89" t="s">
        <v>617</v>
      </c>
      <c r="C981" s="89">
        <v>1767361.31</v>
      </c>
      <c r="D981" s="89" t="s">
        <v>663</v>
      </c>
    </row>
    <row r="982" spans="1:4" x14ac:dyDescent="0.25">
      <c r="A982" s="89" t="s">
        <v>99</v>
      </c>
      <c r="B982" s="89" t="s">
        <v>617</v>
      </c>
      <c r="C982" s="89">
        <v>1071190.02</v>
      </c>
      <c r="D982" s="89" t="s">
        <v>663</v>
      </c>
    </row>
    <row r="983" spans="1:4" x14ac:dyDescent="0.25">
      <c r="A983" s="89" t="s">
        <v>99</v>
      </c>
      <c r="B983" s="89" t="s">
        <v>617</v>
      </c>
      <c r="C983" s="89">
        <v>2531421.7200000002</v>
      </c>
      <c r="D983" s="89" t="s">
        <v>664</v>
      </c>
    </row>
    <row r="984" spans="1:4" x14ac:dyDescent="0.25">
      <c r="A984" s="89" t="s">
        <v>99</v>
      </c>
      <c r="B984" s="89" t="s">
        <v>617</v>
      </c>
      <c r="C984" s="89">
        <v>643977</v>
      </c>
      <c r="D984" s="89" t="s">
        <v>663</v>
      </c>
    </row>
    <row r="985" spans="1:4" x14ac:dyDescent="0.25">
      <c r="A985" s="89" t="s">
        <v>99</v>
      </c>
      <c r="B985" s="89" t="s">
        <v>617</v>
      </c>
      <c r="C985" s="89">
        <v>2567319</v>
      </c>
      <c r="D985" s="89" t="s">
        <v>664</v>
      </c>
    </row>
    <row r="986" spans="1:4" x14ac:dyDescent="0.25">
      <c r="A986" s="89" t="s">
        <v>99</v>
      </c>
      <c r="B986" s="89" t="s">
        <v>617</v>
      </c>
      <c r="C986" s="89">
        <v>252519.83</v>
      </c>
      <c r="D986" s="89" t="s">
        <v>663</v>
      </c>
    </row>
    <row r="987" spans="1:4" x14ac:dyDescent="0.25">
      <c r="A987" s="89" t="s">
        <v>99</v>
      </c>
      <c r="B987" s="89" t="s">
        <v>617</v>
      </c>
      <c r="C987" s="89">
        <v>2220930</v>
      </c>
      <c r="D987" s="89" t="s">
        <v>663</v>
      </c>
    </row>
    <row r="988" spans="1:4" x14ac:dyDescent="0.25">
      <c r="A988" s="89" t="s">
        <v>99</v>
      </c>
      <c r="B988" s="89" t="s">
        <v>617</v>
      </c>
      <c r="C988" s="89">
        <v>186543.09</v>
      </c>
      <c r="D988" s="89" t="s">
        <v>666</v>
      </c>
    </row>
    <row r="989" spans="1:4" x14ac:dyDescent="0.25">
      <c r="A989" s="89" t="s">
        <v>99</v>
      </c>
      <c r="B989" s="89" t="s">
        <v>617</v>
      </c>
      <c r="C989" s="89">
        <v>198291</v>
      </c>
      <c r="D989" s="89" t="s">
        <v>666</v>
      </c>
    </row>
    <row r="990" spans="1:4" x14ac:dyDescent="0.25">
      <c r="A990" s="89" t="s">
        <v>99</v>
      </c>
      <c r="B990" s="89" t="s">
        <v>617</v>
      </c>
      <c r="C990" s="89">
        <v>136638.91</v>
      </c>
      <c r="D990" s="89" t="s">
        <v>666</v>
      </c>
    </row>
    <row r="991" spans="1:4" x14ac:dyDescent="0.25">
      <c r="A991" s="89" t="s">
        <v>99</v>
      </c>
      <c r="B991" s="89" t="s">
        <v>617</v>
      </c>
      <c r="C991" s="89">
        <v>1527939.34</v>
      </c>
      <c r="D991" s="89" t="s">
        <v>663</v>
      </c>
    </row>
    <row r="992" spans="1:4" x14ac:dyDescent="0.25">
      <c r="A992" s="89" t="s">
        <v>99</v>
      </c>
      <c r="B992" s="89" t="s">
        <v>617</v>
      </c>
      <c r="C992" s="89">
        <v>769192</v>
      </c>
      <c r="D992" s="89" t="s">
        <v>664</v>
      </c>
    </row>
    <row r="993" spans="1:4" x14ac:dyDescent="0.25">
      <c r="A993" s="89" t="s">
        <v>99</v>
      </c>
      <c r="B993" s="89" t="s">
        <v>617</v>
      </c>
      <c r="C993" s="89">
        <v>274755</v>
      </c>
      <c r="D993" s="89" t="s">
        <v>666</v>
      </c>
    </row>
    <row r="994" spans="1:4" x14ac:dyDescent="0.25">
      <c r="A994" s="89" t="s">
        <v>99</v>
      </c>
      <c r="B994" s="89" t="s">
        <v>617</v>
      </c>
      <c r="C994" s="89">
        <v>560388</v>
      </c>
      <c r="D994" s="89" t="s">
        <v>663</v>
      </c>
    </row>
    <row r="995" spans="1:4" x14ac:dyDescent="0.25">
      <c r="A995" s="89" t="s">
        <v>99</v>
      </c>
      <c r="B995" s="89" t="s">
        <v>617</v>
      </c>
      <c r="C995" s="89">
        <v>65803.37</v>
      </c>
      <c r="D995" s="89" t="s">
        <v>663</v>
      </c>
    </row>
    <row r="996" spans="1:4" x14ac:dyDescent="0.25">
      <c r="A996" s="89" t="s">
        <v>99</v>
      </c>
      <c r="B996" s="89" t="s">
        <v>617</v>
      </c>
      <c r="C996" s="89">
        <v>1428612.83</v>
      </c>
      <c r="D996" s="89" t="s">
        <v>663</v>
      </c>
    </row>
    <row r="997" spans="1:4" x14ac:dyDescent="0.25">
      <c r="A997" s="89" t="s">
        <v>99</v>
      </c>
      <c r="B997" s="89" t="s">
        <v>617</v>
      </c>
      <c r="C997" s="89">
        <v>338425</v>
      </c>
      <c r="D997" s="89" t="s">
        <v>666</v>
      </c>
    </row>
    <row r="998" spans="1:4" x14ac:dyDescent="0.25">
      <c r="A998" s="89" t="s">
        <v>99</v>
      </c>
      <c r="B998" s="89" t="s">
        <v>617</v>
      </c>
      <c r="C998" s="89">
        <v>359271</v>
      </c>
      <c r="D998" s="89" t="s">
        <v>664</v>
      </c>
    </row>
    <row r="999" spans="1:4" x14ac:dyDescent="0.25">
      <c r="A999" s="89" t="s">
        <v>99</v>
      </c>
      <c r="B999" s="89" t="s">
        <v>617</v>
      </c>
      <c r="C999" s="89">
        <v>18220830.199999999</v>
      </c>
      <c r="D999" s="89" t="s">
        <v>664</v>
      </c>
    </row>
    <row r="1000" spans="1:4" x14ac:dyDescent="0.25">
      <c r="A1000" s="89" t="s">
        <v>99</v>
      </c>
      <c r="B1000" s="89" t="s">
        <v>617</v>
      </c>
      <c r="C1000" s="89">
        <v>432441.62</v>
      </c>
      <c r="D1000" s="89" t="s">
        <v>666</v>
      </c>
    </row>
    <row r="1001" spans="1:4" x14ac:dyDescent="0.25">
      <c r="A1001" s="89" t="s">
        <v>99</v>
      </c>
      <c r="B1001" s="89" t="s">
        <v>617</v>
      </c>
      <c r="C1001" s="89">
        <v>806078</v>
      </c>
      <c r="D1001" s="89" t="s">
        <v>664</v>
      </c>
    </row>
    <row r="1002" spans="1:4" x14ac:dyDescent="0.25">
      <c r="A1002" s="89" t="s">
        <v>99</v>
      </c>
      <c r="B1002" s="89" t="s">
        <v>617</v>
      </c>
      <c r="C1002" s="89">
        <v>-17533.97</v>
      </c>
      <c r="D1002" s="89" t="s">
        <v>666</v>
      </c>
    </row>
    <row r="1003" spans="1:4" x14ac:dyDescent="0.25">
      <c r="A1003" s="89" t="s">
        <v>99</v>
      </c>
      <c r="B1003" s="89" t="s">
        <v>617</v>
      </c>
      <c r="C1003" s="89">
        <v>2121573.42</v>
      </c>
      <c r="D1003" s="89" t="s">
        <v>663</v>
      </c>
    </row>
    <row r="1004" spans="1:4" x14ac:dyDescent="0.25">
      <c r="A1004" s="89" t="s">
        <v>99</v>
      </c>
      <c r="B1004" s="89" t="s">
        <v>617</v>
      </c>
      <c r="C1004" s="89">
        <v>1300693.02</v>
      </c>
      <c r="D1004" s="89" t="s">
        <v>663</v>
      </c>
    </row>
    <row r="1005" spans="1:4" x14ac:dyDescent="0.25">
      <c r="A1005" s="89" t="s">
        <v>99</v>
      </c>
      <c r="B1005" s="89" t="s">
        <v>617</v>
      </c>
      <c r="C1005" s="89">
        <v>321749.89</v>
      </c>
      <c r="D1005" s="89" t="s">
        <v>666</v>
      </c>
    </row>
    <row r="1006" spans="1:4" x14ac:dyDescent="0.25">
      <c r="A1006" s="89" t="s">
        <v>99</v>
      </c>
      <c r="B1006" s="89" t="s">
        <v>617</v>
      </c>
      <c r="C1006" s="89">
        <v>359309</v>
      </c>
      <c r="D1006" s="89" t="s">
        <v>663</v>
      </c>
    </row>
    <row r="1007" spans="1:4" x14ac:dyDescent="0.25">
      <c r="A1007" s="89" t="s">
        <v>99</v>
      </c>
      <c r="B1007" s="89" t="s">
        <v>617</v>
      </c>
      <c r="C1007" s="89">
        <v>1991779.2</v>
      </c>
      <c r="D1007" s="89" t="s">
        <v>663</v>
      </c>
    </row>
    <row r="1008" spans="1:4" x14ac:dyDescent="0.25">
      <c r="A1008" s="89" t="s">
        <v>209</v>
      </c>
      <c r="B1008" s="89" t="s">
        <v>615</v>
      </c>
      <c r="C1008" s="89">
        <v>5074367</v>
      </c>
      <c r="D1008" s="89" t="s">
        <v>663</v>
      </c>
    </row>
    <row r="1009" spans="1:4" x14ac:dyDescent="0.25">
      <c r="A1009" s="89" t="s">
        <v>209</v>
      </c>
      <c r="B1009" s="89" t="s">
        <v>615</v>
      </c>
      <c r="C1009" s="89">
        <v>1927078</v>
      </c>
      <c r="D1009" s="89" t="s">
        <v>663</v>
      </c>
    </row>
    <row r="1010" spans="1:4" x14ac:dyDescent="0.25">
      <c r="A1010" s="89" t="s">
        <v>209</v>
      </c>
      <c r="B1010" s="89" t="s">
        <v>615</v>
      </c>
      <c r="C1010" s="89">
        <v>2534312</v>
      </c>
      <c r="D1010" s="89" t="s">
        <v>663</v>
      </c>
    </row>
    <row r="1011" spans="1:4" x14ac:dyDescent="0.25">
      <c r="A1011" s="89" t="s">
        <v>209</v>
      </c>
      <c r="B1011" s="89" t="s">
        <v>615</v>
      </c>
      <c r="C1011" s="89">
        <v>1116415</v>
      </c>
      <c r="D1011" s="89" t="s">
        <v>663</v>
      </c>
    </row>
    <row r="1012" spans="1:4" x14ac:dyDescent="0.25">
      <c r="A1012" s="89" t="s">
        <v>209</v>
      </c>
      <c r="B1012" s="89" t="s">
        <v>615</v>
      </c>
      <c r="C1012" s="89">
        <v>1116415</v>
      </c>
      <c r="D1012" s="89" t="s">
        <v>663</v>
      </c>
    </row>
    <row r="1013" spans="1:4" x14ac:dyDescent="0.25">
      <c r="A1013" s="89" t="s">
        <v>209</v>
      </c>
      <c r="B1013" s="89" t="s">
        <v>615</v>
      </c>
      <c r="C1013" s="89">
        <v>2471454</v>
      </c>
      <c r="D1013" s="89" t="s">
        <v>663</v>
      </c>
    </row>
    <row r="1014" spans="1:4" x14ac:dyDescent="0.25">
      <c r="A1014" s="89" t="s">
        <v>209</v>
      </c>
      <c r="B1014" s="89" t="s">
        <v>615</v>
      </c>
      <c r="C1014" s="89">
        <v>2198900</v>
      </c>
      <c r="D1014" s="89" t="s">
        <v>663</v>
      </c>
    </row>
    <row r="1015" spans="1:4" x14ac:dyDescent="0.25">
      <c r="A1015" s="89" t="s">
        <v>209</v>
      </c>
      <c r="B1015" s="89" t="s">
        <v>615</v>
      </c>
      <c r="C1015" s="89">
        <v>1992264</v>
      </c>
      <c r="D1015" s="89" t="s">
        <v>663</v>
      </c>
    </row>
    <row r="1016" spans="1:4" x14ac:dyDescent="0.25">
      <c r="A1016" s="89" t="s">
        <v>209</v>
      </c>
      <c r="B1016" s="89" t="s">
        <v>615</v>
      </c>
      <c r="C1016" s="89">
        <v>5235312</v>
      </c>
      <c r="D1016" s="89" t="s">
        <v>663</v>
      </c>
    </row>
    <row r="1017" spans="1:4" x14ac:dyDescent="0.25">
      <c r="A1017" s="89" t="s">
        <v>209</v>
      </c>
      <c r="B1017" s="89" t="s">
        <v>615</v>
      </c>
      <c r="C1017" s="89">
        <v>3513428</v>
      </c>
      <c r="D1017" s="89" t="s">
        <v>663</v>
      </c>
    </row>
    <row r="1018" spans="1:4" x14ac:dyDescent="0.25">
      <c r="A1018" s="89" t="s">
        <v>209</v>
      </c>
      <c r="B1018" s="89" t="s">
        <v>615</v>
      </c>
      <c r="C1018" s="89">
        <v>1655362</v>
      </c>
      <c r="D1018" s="89" t="s">
        <v>663</v>
      </c>
    </row>
    <row r="1019" spans="1:4" x14ac:dyDescent="0.25">
      <c r="A1019" s="89" t="s">
        <v>55</v>
      </c>
      <c r="B1019" s="89" t="s">
        <v>637</v>
      </c>
      <c r="C1019" s="89">
        <v>2540473</v>
      </c>
      <c r="D1019" s="89" t="s">
        <v>663</v>
      </c>
    </row>
    <row r="1020" spans="1:4" x14ac:dyDescent="0.25">
      <c r="A1020" s="89" t="s">
        <v>55</v>
      </c>
      <c r="B1020" s="89" t="s">
        <v>637</v>
      </c>
      <c r="C1020" s="89">
        <v>159327</v>
      </c>
      <c r="D1020" s="89" t="s">
        <v>664</v>
      </c>
    </row>
    <row r="1021" spans="1:4" x14ac:dyDescent="0.25">
      <c r="A1021" s="89" t="s">
        <v>55</v>
      </c>
      <c r="B1021" s="89" t="s">
        <v>637</v>
      </c>
      <c r="C1021" s="89">
        <v>5970829.7300000004</v>
      </c>
      <c r="D1021" s="89" t="s">
        <v>663</v>
      </c>
    </row>
    <row r="1022" spans="1:4" x14ac:dyDescent="0.25">
      <c r="A1022" s="89" t="s">
        <v>55</v>
      </c>
      <c r="B1022" s="89" t="s">
        <v>637</v>
      </c>
      <c r="C1022" s="89">
        <v>1048661</v>
      </c>
      <c r="D1022" s="89" t="s">
        <v>666</v>
      </c>
    </row>
    <row r="1023" spans="1:4" x14ac:dyDescent="0.25">
      <c r="A1023" s="89" t="s">
        <v>55</v>
      </c>
      <c r="B1023" s="89" t="s">
        <v>637</v>
      </c>
      <c r="C1023" s="89">
        <v>3661079</v>
      </c>
      <c r="D1023" s="89" t="s">
        <v>666</v>
      </c>
    </row>
    <row r="1024" spans="1:4" x14ac:dyDescent="0.25">
      <c r="A1024" s="89" t="s">
        <v>55</v>
      </c>
      <c r="B1024" s="89" t="s">
        <v>637</v>
      </c>
      <c r="C1024" s="89">
        <v>8348125.7400000002</v>
      </c>
      <c r="D1024" s="89" t="s">
        <v>663</v>
      </c>
    </row>
    <row r="1025" spans="1:4" x14ac:dyDescent="0.25">
      <c r="A1025" s="89" t="s">
        <v>55</v>
      </c>
      <c r="B1025" s="89" t="s">
        <v>637</v>
      </c>
      <c r="C1025" s="89">
        <v>147491.32</v>
      </c>
      <c r="D1025" s="89" t="s">
        <v>664</v>
      </c>
    </row>
    <row r="1026" spans="1:4" x14ac:dyDescent="0.25">
      <c r="A1026" s="89" t="s">
        <v>55</v>
      </c>
      <c r="B1026" s="89" t="s">
        <v>637</v>
      </c>
      <c r="C1026" s="89">
        <v>494107</v>
      </c>
      <c r="D1026" s="89" t="s">
        <v>666</v>
      </c>
    </row>
    <row r="1027" spans="1:4" x14ac:dyDescent="0.25">
      <c r="A1027" s="89" t="s">
        <v>55</v>
      </c>
      <c r="B1027" s="89" t="s">
        <v>637</v>
      </c>
      <c r="C1027" s="89">
        <v>1555846</v>
      </c>
      <c r="D1027" s="89" t="s">
        <v>666</v>
      </c>
    </row>
    <row r="1028" spans="1:4" x14ac:dyDescent="0.25">
      <c r="A1028" s="89" t="s">
        <v>55</v>
      </c>
      <c r="B1028" s="89" t="s">
        <v>637</v>
      </c>
      <c r="C1028" s="89">
        <v>2339532</v>
      </c>
      <c r="D1028" s="89" t="s">
        <v>666</v>
      </c>
    </row>
    <row r="1029" spans="1:4" x14ac:dyDescent="0.25">
      <c r="A1029" s="89" t="s">
        <v>55</v>
      </c>
      <c r="B1029" s="89" t="s">
        <v>637</v>
      </c>
      <c r="C1029" s="89">
        <v>880206.26</v>
      </c>
      <c r="D1029" s="89" t="s">
        <v>663</v>
      </c>
    </row>
    <row r="1030" spans="1:4" x14ac:dyDescent="0.25">
      <c r="A1030" s="89" t="s">
        <v>55</v>
      </c>
      <c r="B1030" s="89" t="s">
        <v>637</v>
      </c>
      <c r="C1030" s="89">
        <v>2733105</v>
      </c>
      <c r="D1030" s="89" t="s">
        <v>663</v>
      </c>
    </row>
    <row r="1031" spans="1:4" x14ac:dyDescent="0.25">
      <c r="A1031" s="89" t="s">
        <v>55</v>
      </c>
      <c r="B1031" s="89" t="s">
        <v>637</v>
      </c>
      <c r="C1031" s="89">
        <v>1455529.43</v>
      </c>
      <c r="D1031" s="89" t="s">
        <v>663</v>
      </c>
    </row>
    <row r="1032" spans="1:4" x14ac:dyDescent="0.25">
      <c r="A1032" s="89" t="s">
        <v>55</v>
      </c>
      <c r="B1032" s="89" t="s">
        <v>637</v>
      </c>
      <c r="C1032" s="89">
        <v>321350</v>
      </c>
      <c r="D1032" s="89" t="s">
        <v>664</v>
      </c>
    </row>
    <row r="1033" spans="1:4" x14ac:dyDescent="0.25">
      <c r="A1033" s="89" t="s">
        <v>55</v>
      </c>
      <c r="B1033" s="89" t="s">
        <v>637</v>
      </c>
      <c r="C1033" s="89">
        <v>225854</v>
      </c>
      <c r="D1033" s="89" t="s">
        <v>666</v>
      </c>
    </row>
    <row r="1034" spans="1:4" x14ac:dyDescent="0.25">
      <c r="A1034" s="89" t="s">
        <v>55</v>
      </c>
      <c r="B1034" s="89" t="s">
        <v>637</v>
      </c>
      <c r="C1034" s="89">
        <v>525903</v>
      </c>
      <c r="D1034" s="89" t="s">
        <v>664</v>
      </c>
    </row>
    <row r="1035" spans="1:4" x14ac:dyDescent="0.25">
      <c r="A1035" s="89" t="s">
        <v>55</v>
      </c>
      <c r="B1035" s="89" t="s">
        <v>637</v>
      </c>
      <c r="C1035" s="89">
        <v>11426350</v>
      </c>
      <c r="D1035" s="89" t="s">
        <v>663</v>
      </c>
    </row>
    <row r="1036" spans="1:4" x14ac:dyDescent="0.25">
      <c r="A1036" s="89" t="s">
        <v>55</v>
      </c>
      <c r="B1036" s="89" t="s">
        <v>637</v>
      </c>
      <c r="C1036" s="89">
        <v>4083051</v>
      </c>
      <c r="D1036" s="89" t="s">
        <v>666</v>
      </c>
    </row>
    <row r="1037" spans="1:4" x14ac:dyDescent="0.25">
      <c r="A1037" s="89" t="s">
        <v>55</v>
      </c>
      <c r="B1037" s="89" t="s">
        <v>637</v>
      </c>
      <c r="C1037" s="89">
        <v>2186070</v>
      </c>
      <c r="D1037" s="89" t="s">
        <v>666</v>
      </c>
    </row>
    <row r="1038" spans="1:4" x14ac:dyDescent="0.25">
      <c r="A1038" s="89" t="s">
        <v>55</v>
      </c>
      <c r="B1038" s="89" t="s">
        <v>637</v>
      </c>
      <c r="C1038" s="89">
        <v>135127</v>
      </c>
      <c r="D1038" s="89" t="s">
        <v>664</v>
      </c>
    </row>
    <row r="1039" spans="1:4" x14ac:dyDescent="0.25">
      <c r="A1039" s="89" t="s">
        <v>55</v>
      </c>
      <c r="B1039" s="89" t="s">
        <v>637</v>
      </c>
      <c r="C1039" s="89">
        <v>524731.17000000004</v>
      </c>
      <c r="D1039" s="89" t="s">
        <v>664</v>
      </c>
    </row>
    <row r="1040" spans="1:4" x14ac:dyDescent="0.25">
      <c r="A1040" s="89" t="s">
        <v>55</v>
      </c>
      <c r="B1040" s="89" t="s">
        <v>637</v>
      </c>
      <c r="C1040" s="89">
        <v>3340726</v>
      </c>
      <c r="D1040" s="89" t="s">
        <v>663</v>
      </c>
    </row>
    <row r="1041" spans="1:4" x14ac:dyDescent="0.25">
      <c r="A1041" s="89" t="s">
        <v>55</v>
      </c>
      <c r="B1041" s="89" t="s">
        <v>637</v>
      </c>
      <c r="C1041" s="89">
        <v>7776023</v>
      </c>
      <c r="D1041" s="89" t="s">
        <v>664</v>
      </c>
    </row>
    <row r="1042" spans="1:4" x14ac:dyDescent="0.25">
      <c r="A1042" s="89" t="s">
        <v>55</v>
      </c>
      <c r="B1042" s="89" t="s">
        <v>637</v>
      </c>
      <c r="C1042" s="89">
        <v>3886796</v>
      </c>
      <c r="D1042" s="89" t="s">
        <v>666</v>
      </c>
    </row>
    <row r="1043" spans="1:4" x14ac:dyDescent="0.25">
      <c r="A1043" s="89" t="s">
        <v>55</v>
      </c>
      <c r="B1043" s="89" t="s">
        <v>637</v>
      </c>
      <c r="C1043" s="89">
        <v>1875012</v>
      </c>
      <c r="D1043" s="89" t="s">
        <v>666</v>
      </c>
    </row>
    <row r="1044" spans="1:4" x14ac:dyDescent="0.25">
      <c r="A1044" s="89" t="s">
        <v>55</v>
      </c>
      <c r="B1044" s="89" t="s">
        <v>637</v>
      </c>
      <c r="C1044" s="89">
        <v>430343</v>
      </c>
      <c r="D1044" s="89" t="s">
        <v>664</v>
      </c>
    </row>
    <row r="1045" spans="1:4" x14ac:dyDescent="0.25">
      <c r="A1045" s="89" t="s">
        <v>55</v>
      </c>
      <c r="B1045" s="89" t="s">
        <v>637</v>
      </c>
      <c r="C1045" s="89">
        <v>3092518</v>
      </c>
      <c r="D1045" s="89" t="s">
        <v>666</v>
      </c>
    </row>
    <row r="1046" spans="1:4" x14ac:dyDescent="0.25">
      <c r="A1046" s="89" t="s">
        <v>55</v>
      </c>
      <c r="B1046" s="89" t="s">
        <v>637</v>
      </c>
      <c r="C1046" s="89">
        <v>3005510</v>
      </c>
      <c r="D1046" s="89" t="s">
        <v>664</v>
      </c>
    </row>
    <row r="1047" spans="1:4" x14ac:dyDescent="0.25">
      <c r="A1047" s="89" t="s">
        <v>55</v>
      </c>
      <c r="B1047" s="89" t="s">
        <v>637</v>
      </c>
      <c r="C1047" s="89">
        <v>3387318</v>
      </c>
      <c r="D1047" s="89" t="s">
        <v>666</v>
      </c>
    </row>
    <row r="1048" spans="1:4" x14ac:dyDescent="0.25">
      <c r="A1048" s="89" t="s">
        <v>55</v>
      </c>
      <c r="B1048" s="89" t="s">
        <v>637</v>
      </c>
      <c r="C1048" s="89">
        <v>3114423.97</v>
      </c>
      <c r="D1048" s="89" t="s">
        <v>663</v>
      </c>
    </row>
    <row r="1049" spans="1:4" x14ac:dyDescent="0.25">
      <c r="A1049" s="89" t="s">
        <v>55</v>
      </c>
      <c r="B1049" s="89" t="s">
        <v>637</v>
      </c>
      <c r="C1049" s="89">
        <v>2214448.52</v>
      </c>
      <c r="D1049" s="89" t="s">
        <v>663</v>
      </c>
    </row>
    <row r="1050" spans="1:4" x14ac:dyDescent="0.25">
      <c r="A1050" s="89" t="s">
        <v>55</v>
      </c>
      <c r="B1050" s="89" t="s">
        <v>637</v>
      </c>
      <c r="C1050" s="89">
        <v>9874373</v>
      </c>
      <c r="D1050" s="89" t="s">
        <v>663</v>
      </c>
    </row>
    <row r="1051" spans="1:4" x14ac:dyDescent="0.25">
      <c r="A1051" s="89" t="s">
        <v>55</v>
      </c>
      <c r="B1051" s="89" t="s">
        <v>637</v>
      </c>
      <c r="C1051" s="89">
        <v>5912268</v>
      </c>
      <c r="D1051" s="89" t="s">
        <v>666</v>
      </c>
    </row>
    <row r="1052" spans="1:4" x14ac:dyDescent="0.25">
      <c r="A1052" s="89" t="s">
        <v>55</v>
      </c>
      <c r="B1052" s="89" t="s">
        <v>637</v>
      </c>
      <c r="C1052" s="89">
        <v>1382486</v>
      </c>
      <c r="D1052" s="89" t="s">
        <v>664</v>
      </c>
    </row>
    <row r="1053" spans="1:4" x14ac:dyDescent="0.25">
      <c r="A1053" s="89" t="s">
        <v>55</v>
      </c>
      <c r="B1053" s="89" t="s">
        <v>637</v>
      </c>
      <c r="C1053" s="89">
        <v>57500</v>
      </c>
      <c r="D1053" s="89" t="s">
        <v>664</v>
      </c>
    </row>
    <row r="1054" spans="1:4" x14ac:dyDescent="0.25">
      <c r="A1054" s="89" t="s">
        <v>55</v>
      </c>
      <c r="B1054" s="89" t="s">
        <v>637</v>
      </c>
      <c r="C1054" s="89">
        <v>3501564</v>
      </c>
      <c r="D1054" s="89" t="s">
        <v>664</v>
      </c>
    </row>
    <row r="1055" spans="1:4" x14ac:dyDescent="0.25">
      <c r="A1055" s="89" t="s">
        <v>55</v>
      </c>
      <c r="B1055" s="89" t="s">
        <v>637</v>
      </c>
      <c r="C1055" s="89">
        <v>1058783</v>
      </c>
      <c r="D1055" s="89" t="s">
        <v>666</v>
      </c>
    </row>
    <row r="1056" spans="1:4" x14ac:dyDescent="0.25">
      <c r="A1056" s="89" t="s">
        <v>55</v>
      </c>
      <c r="B1056" s="89" t="s">
        <v>637</v>
      </c>
      <c r="C1056" s="89">
        <v>642118.56999999995</v>
      </c>
      <c r="D1056" s="89" t="s">
        <v>663</v>
      </c>
    </row>
    <row r="1057" spans="1:4" x14ac:dyDescent="0.25">
      <c r="A1057" s="89" t="s">
        <v>55</v>
      </c>
      <c r="B1057" s="89" t="s">
        <v>637</v>
      </c>
      <c r="C1057" s="89">
        <v>6723376.1200000001</v>
      </c>
      <c r="D1057" s="89" t="s">
        <v>666</v>
      </c>
    </row>
    <row r="1058" spans="1:4" x14ac:dyDescent="0.25">
      <c r="A1058" s="89" t="s">
        <v>55</v>
      </c>
      <c r="B1058" s="89" t="s">
        <v>637</v>
      </c>
      <c r="C1058" s="89">
        <v>22840</v>
      </c>
      <c r="D1058" s="89" t="s">
        <v>664</v>
      </c>
    </row>
    <row r="1059" spans="1:4" x14ac:dyDescent="0.25">
      <c r="A1059" s="89" t="s">
        <v>55</v>
      </c>
      <c r="B1059" s="89" t="s">
        <v>637</v>
      </c>
      <c r="C1059" s="89">
        <v>984894.21</v>
      </c>
      <c r="D1059" s="89" t="s">
        <v>664</v>
      </c>
    </row>
    <row r="1060" spans="1:4" x14ac:dyDescent="0.25">
      <c r="A1060" s="89" t="s">
        <v>55</v>
      </c>
      <c r="B1060" s="89" t="s">
        <v>637</v>
      </c>
      <c r="C1060" s="89">
        <v>5854409.7800000003</v>
      </c>
      <c r="D1060" s="89" t="s">
        <v>663</v>
      </c>
    </row>
    <row r="1061" spans="1:4" x14ac:dyDescent="0.25">
      <c r="A1061" s="89" t="s">
        <v>55</v>
      </c>
      <c r="B1061" s="89" t="s">
        <v>637</v>
      </c>
      <c r="C1061" s="89">
        <v>1517757</v>
      </c>
      <c r="D1061" s="89" t="s">
        <v>663</v>
      </c>
    </row>
    <row r="1062" spans="1:4" x14ac:dyDescent="0.25">
      <c r="A1062" s="89" t="s">
        <v>55</v>
      </c>
      <c r="B1062" s="89" t="s">
        <v>637</v>
      </c>
      <c r="C1062" s="89">
        <v>4519136.5</v>
      </c>
      <c r="D1062" s="89" t="s">
        <v>666</v>
      </c>
    </row>
    <row r="1063" spans="1:4" x14ac:dyDescent="0.25">
      <c r="A1063" s="89" t="s">
        <v>55</v>
      </c>
      <c r="B1063" s="89" t="s">
        <v>637</v>
      </c>
      <c r="C1063" s="89">
        <v>2853370.65</v>
      </c>
      <c r="D1063" s="89" t="s">
        <v>666</v>
      </c>
    </row>
    <row r="1064" spans="1:4" x14ac:dyDescent="0.25">
      <c r="A1064" s="89" t="s">
        <v>55</v>
      </c>
      <c r="B1064" s="89" t="s">
        <v>637</v>
      </c>
      <c r="C1064" s="89">
        <v>4137939</v>
      </c>
      <c r="D1064" s="89" t="s">
        <v>666</v>
      </c>
    </row>
    <row r="1065" spans="1:4" x14ac:dyDescent="0.25">
      <c r="A1065" s="89" t="s">
        <v>55</v>
      </c>
      <c r="B1065" s="89" t="s">
        <v>637</v>
      </c>
      <c r="C1065" s="89">
        <v>1377744.82</v>
      </c>
      <c r="D1065" s="89" t="s">
        <v>663</v>
      </c>
    </row>
    <row r="1066" spans="1:4" x14ac:dyDescent="0.25">
      <c r="A1066" s="89" t="s">
        <v>55</v>
      </c>
      <c r="B1066" s="89" t="s">
        <v>637</v>
      </c>
      <c r="C1066" s="89">
        <v>50000</v>
      </c>
      <c r="D1066" s="89" t="s">
        <v>666</v>
      </c>
    </row>
    <row r="1067" spans="1:4" x14ac:dyDescent="0.25">
      <c r="A1067" s="89" t="s">
        <v>55</v>
      </c>
      <c r="B1067" s="89" t="s">
        <v>637</v>
      </c>
      <c r="C1067" s="89">
        <v>42289204</v>
      </c>
      <c r="D1067" s="89" t="s">
        <v>663</v>
      </c>
    </row>
    <row r="1068" spans="1:4" x14ac:dyDescent="0.25">
      <c r="A1068" s="89" t="s">
        <v>55</v>
      </c>
      <c r="B1068" s="89" t="s">
        <v>637</v>
      </c>
      <c r="C1068" s="89">
        <v>918104</v>
      </c>
      <c r="D1068" s="89" t="s">
        <v>664</v>
      </c>
    </row>
    <row r="1069" spans="1:4" x14ac:dyDescent="0.25">
      <c r="A1069" s="89" t="s">
        <v>55</v>
      </c>
      <c r="B1069" s="89" t="s">
        <v>637</v>
      </c>
      <c r="C1069" s="89">
        <v>1193249</v>
      </c>
      <c r="D1069" s="89" t="s">
        <v>664</v>
      </c>
    </row>
    <row r="1070" spans="1:4" x14ac:dyDescent="0.25">
      <c r="A1070" s="89" t="s">
        <v>55</v>
      </c>
      <c r="B1070" s="89" t="s">
        <v>637</v>
      </c>
      <c r="C1070" s="89">
        <v>291793</v>
      </c>
      <c r="D1070" s="89" t="s">
        <v>664</v>
      </c>
    </row>
    <row r="1071" spans="1:4" x14ac:dyDescent="0.25">
      <c r="A1071" s="89" t="s">
        <v>55</v>
      </c>
      <c r="B1071" s="89" t="s">
        <v>637</v>
      </c>
      <c r="C1071" s="89">
        <v>68707</v>
      </c>
      <c r="D1071" s="89" t="s">
        <v>664</v>
      </c>
    </row>
    <row r="1072" spans="1:4" x14ac:dyDescent="0.25">
      <c r="A1072" s="89" t="s">
        <v>55</v>
      </c>
      <c r="B1072" s="89" t="s">
        <v>637</v>
      </c>
      <c r="C1072" s="89">
        <v>1160592</v>
      </c>
      <c r="D1072" s="89" t="s">
        <v>663</v>
      </c>
    </row>
    <row r="1073" spans="1:4" x14ac:dyDescent="0.25">
      <c r="A1073" s="89" t="s">
        <v>55</v>
      </c>
      <c r="B1073" s="89" t="s">
        <v>637</v>
      </c>
      <c r="C1073" s="89">
        <v>614322</v>
      </c>
      <c r="D1073" s="89" t="s">
        <v>664</v>
      </c>
    </row>
    <row r="1074" spans="1:4" x14ac:dyDescent="0.25">
      <c r="A1074" s="89" t="s">
        <v>55</v>
      </c>
      <c r="B1074" s="89" t="s">
        <v>637</v>
      </c>
      <c r="C1074" s="89">
        <v>1463833.47</v>
      </c>
      <c r="D1074" s="89" t="s">
        <v>663</v>
      </c>
    </row>
    <row r="1075" spans="1:4" x14ac:dyDescent="0.25">
      <c r="A1075" s="89" t="s">
        <v>55</v>
      </c>
      <c r="B1075" s="89" t="s">
        <v>637</v>
      </c>
      <c r="C1075" s="89">
        <v>3360793.13</v>
      </c>
      <c r="D1075" s="89" t="s">
        <v>666</v>
      </c>
    </row>
    <row r="1076" spans="1:4" x14ac:dyDescent="0.25">
      <c r="A1076" s="89" t="s">
        <v>55</v>
      </c>
      <c r="B1076" s="89" t="s">
        <v>637</v>
      </c>
      <c r="C1076" s="89">
        <v>5935083</v>
      </c>
      <c r="D1076" s="89" t="s">
        <v>666</v>
      </c>
    </row>
    <row r="1077" spans="1:4" x14ac:dyDescent="0.25">
      <c r="A1077" s="89" t="s">
        <v>55</v>
      </c>
      <c r="B1077" s="89" t="s">
        <v>637</v>
      </c>
      <c r="C1077" s="89">
        <v>4047108</v>
      </c>
      <c r="D1077" s="89" t="s">
        <v>666</v>
      </c>
    </row>
    <row r="1078" spans="1:4" x14ac:dyDescent="0.25">
      <c r="A1078" s="89" t="s">
        <v>55</v>
      </c>
      <c r="B1078" s="89" t="s">
        <v>637</v>
      </c>
      <c r="C1078" s="89">
        <v>4646408.5</v>
      </c>
      <c r="D1078" s="89" t="s">
        <v>663</v>
      </c>
    </row>
    <row r="1079" spans="1:4" x14ac:dyDescent="0.25">
      <c r="A1079" s="89" t="s">
        <v>55</v>
      </c>
      <c r="B1079" s="89" t="s">
        <v>637</v>
      </c>
      <c r="C1079" s="89">
        <v>3246727</v>
      </c>
      <c r="D1079" s="89" t="s">
        <v>663</v>
      </c>
    </row>
    <row r="1080" spans="1:4" x14ac:dyDescent="0.25">
      <c r="A1080" s="89" t="s">
        <v>55</v>
      </c>
      <c r="B1080" s="89" t="s">
        <v>637</v>
      </c>
      <c r="C1080" s="89">
        <v>6445993</v>
      </c>
      <c r="D1080" s="89" t="s">
        <v>664</v>
      </c>
    </row>
    <row r="1081" spans="1:4" x14ac:dyDescent="0.25">
      <c r="A1081" s="89" t="s">
        <v>55</v>
      </c>
      <c r="B1081" s="89" t="s">
        <v>637</v>
      </c>
      <c r="C1081" s="89">
        <v>7347756</v>
      </c>
      <c r="D1081" s="89" t="s">
        <v>666</v>
      </c>
    </row>
    <row r="1082" spans="1:4" x14ac:dyDescent="0.25">
      <c r="A1082" s="89" t="s">
        <v>55</v>
      </c>
      <c r="B1082" s="89" t="s">
        <v>637</v>
      </c>
      <c r="C1082" s="89">
        <v>155859.49</v>
      </c>
      <c r="D1082" s="89" t="s">
        <v>666</v>
      </c>
    </row>
    <row r="1083" spans="1:4" x14ac:dyDescent="0.25">
      <c r="A1083" s="89" t="s">
        <v>55</v>
      </c>
      <c r="B1083" s="89" t="s">
        <v>637</v>
      </c>
      <c r="C1083" s="89">
        <v>12670012</v>
      </c>
      <c r="D1083" s="89" t="s">
        <v>663</v>
      </c>
    </row>
    <row r="1084" spans="1:4" x14ac:dyDescent="0.25">
      <c r="A1084" s="89" t="s">
        <v>55</v>
      </c>
      <c r="B1084" s="89" t="s">
        <v>637</v>
      </c>
      <c r="C1084" s="89">
        <v>3745836.88</v>
      </c>
      <c r="D1084" s="89" t="s">
        <v>666</v>
      </c>
    </row>
    <row r="1085" spans="1:4" x14ac:dyDescent="0.25">
      <c r="A1085" s="89" t="s">
        <v>55</v>
      </c>
      <c r="B1085" s="89" t="s">
        <v>637</v>
      </c>
      <c r="C1085" s="89">
        <v>4408407.2</v>
      </c>
      <c r="D1085" s="89" t="s">
        <v>666</v>
      </c>
    </row>
    <row r="1086" spans="1:4" x14ac:dyDescent="0.25">
      <c r="A1086" s="89" t="s">
        <v>55</v>
      </c>
      <c r="B1086" s="89" t="s">
        <v>637</v>
      </c>
      <c r="C1086" s="89">
        <v>905543</v>
      </c>
      <c r="D1086" s="89" t="s">
        <v>666</v>
      </c>
    </row>
    <row r="1087" spans="1:4" x14ac:dyDescent="0.25">
      <c r="A1087" s="89" t="s">
        <v>55</v>
      </c>
      <c r="B1087" s="89" t="s">
        <v>637</v>
      </c>
      <c r="C1087" s="89">
        <v>2602338.2000000002</v>
      </c>
      <c r="D1087" s="89" t="s">
        <v>666</v>
      </c>
    </row>
    <row r="1088" spans="1:4" x14ac:dyDescent="0.25">
      <c r="A1088" s="89" t="s">
        <v>55</v>
      </c>
      <c r="B1088" s="89" t="s">
        <v>637</v>
      </c>
      <c r="C1088" s="89">
        <v>661844</v>
      </c>
      <c r="D1088" s="89" t="s">
        <v>666</v>
      </c>
    </row>
    <row r="1089" spans="1:4" x14ac:dyDescent="0.25">
      <c r="A1089" s="89" t="s">
        <v>55</v>
      </c>
      <c r="B1089" s="89" t="s">
        <v>637</v>
      </c>
      <c r="C1089" s="89">
        <v>6464678.7999999998</v>
      </c>
      <c r="D1089" s="89" t="s">
        <v>663</v>
      </c>
    </row>
    <row r="1090" spans="1:4" x14ac:dyDescent="0.25">
      <c r="A1090" s="89" t="s">
        <v>55</v>
      </c>
      <c r="B1090" s="89" t="s">
        <v>637</v>
      </c>
      <c r="C1090" s="89">
        <v>8754955.8200000003</v>
      </c>
      <c r="D1090" s="89" t="s">
        <v>666</v>
      </c>
    </row>
    <row r="1091" spans="1:4" x14ac:dyDescent="0.25">
      <c r="A1091" s="89" t="s">
        <v>55</v>
      </c>
      <c r="B1091" s="89" t="s">
        <v>637</v>
      </c>
      <c r="C1091" s="89">
        <v>1337919.23</v>
      </c>
      <c r="D1091" s="89" t="s">
        <v>663</v>
      </c>
    </row>
    <row r="1092" spans="1:4" x14ac:dyDescent="0.25">
      <c r="A1092" s="89" t="s">
        <v>55</v>
      </c>
      <c r="B1092" s="89" t="s">
        <v>637</v>
      </c>
      <c r="C1092" s="89">
        <v>517006</v>
      </c>
      <c r="D1092" s="89" t="s">
        <v>663</v>
      </c>
    </row>
    <row r="1093" spans="1:4" x14ac:dyDescent="0.25">
      <c r="A1093" s="89" t="s">
        <v>55</v>
      </c>
      <c r="B1093" s="89" t="s">
        <v>637</v>
      </c>
      <c r="C1093" s="89">
        <v>2743696.5</v>
      </c>
      <c r="D1093" s="89" t="s">
        <v>663</v>
      </c>
    </row>
    <row r="1094" spans="1:4" x14ac:dyDescent="0.25">
      <c r="A1094" s="89" t="s">
        <v>55</v>
      </c>
      <c r="B1094" s="89" t="s">
        <v>637</v>
      </c>
      <c r="C1094" s="89">
        <v>12636676</v>
      </c>
      <c r="D1094" s="89" t="s">
        <v>666</v>
      </c>
    </row>
    <row r="1095" spans="1:4" x14ac:dyDescent="0.25">
      <c r="A1095" s="89" t="s">
        <v>55</v>
      </c>
      <c r="B1095" s="89" t="s">
        <v>637</v>
      </c>
      <c r="C1095" s="89">
        <v>5601754.2800000003</v>
      </c>
      <c r="D1095" s="89" t="s">
        <v>666</v>
      </c>
    </row>
    <row r="1096" spans="1:4" x14ac:dyDescent="0.25">
      <c r="A1096" s="89" t="s">
        <v>55</v>
      </c>
      <c r="B1096" s="89" t="s">
        <v>637</v>
      </c>
      <c r="C1096" s="89">
        <v>158799</v>
      </c>
      <c r="D1096" s="89" t="s">
        <v>666</v>
      </c>
    </row>
    <row r="1097" spans="1:4" x14ac:dyDescent="0.25">
      <c r="A1097" s="89" t="s">
        <v>55</v>
      </c>
      <c r="B1097" s="89" t="s">
        <v>637</v>
      </c>
      <c r="C1097" s="89">
        <v>482463.54</v>
      </c>
      <c r="D1097" s="89" t="s">
        <v>666</v>
      </c>
    </row>
    <row r="1098" spans="1:4" x14ac:dyDescent="0.25">
      <c r="A1098" s="89" t="s">
        <v>55</v>
      </c>
      <c r="B1098" s="89" t="s">
        <v>637</v>
      </c>
      <c r="C1098" s="89">
        <v>50000</v>
      </c>
      <c r="D1098" s="89" t="s">
        <v>666</v>
      </c>
    </row>
    <row r="1099" spans="1:4" x14ac:dyDescent="0.25">
      <c r="A1099" s="89" t="s">
        <v>55</v>
      </c>
      <c r="B1099" s="89" t="s">
        <v>637</v>
      </c>
      <c r="C1099" s="89">
        <v>9592370</v>
      </c>
      <c r="D1099" s="89" t="s">
        <v>666</v>
      </c>
    </row>
    <row r="1100" spans="1:4" x14ac:dyDescent="0.25">
      <c r="A1100" s="89" t="s">
        <v>55</v>
      </c>
      <c r="B1100" s="89" t="s">
        <v>637</v>
      </c>
      <c r="C1100" s="89">
        <v>8246620</v>
      </c>
      <c r="D1100" s="89" t="s">
        <v>663</v>
      </c>
    </row>
    <row r="1101" spans="1:4" x14ac:dyDescent="0.25">
      <c r="A1101" s="89" t="s">
        <v>55</v>
      </c>
      <c r="B1101" s="89" t="s">
        <v>637</v>
      </c>
      <c r="C1101" s="89">
        <v>4335514</v>
      </c>
      <c r="D1101" s="89" t="s">
        <v>666</v>
      </c>
    </row>
    <row r="1102" spans="1:4" x14ac:dyDescent="0.25">
      <c r="A1102" s="89" t="s">
        <v>55</v>
      </c>
      <c r="B1102" s="89" t="s">
        <v>637</v>
      </c>
      <c r="C1102" s="89">
        <v>908345</v>
      </c>
      <c r="D1102" s="89" t="s">
        <v>664</v>
      </c>
    </row>
    <row r="1103" spans="1:4" x14ac:dyDescent="0.25">
      <c r="A1103" s="89" t="s">
        <v>55</v>
      </c>
      <c r="B1103" s="89" t="s">
        <v>637</v>
      </c>
      <c r="C1103" s="89">
        <v>729012</v>
      </c>
      <c r="D1103" s="89" t="s">
        <v>664</v>
      </c>
    </row>
    <row r="1104" spans="1:4" x14ac:dyDescent="0.25">
      <c r="A1104" s="89" t="s">
        <v>55</v>
      </c>
      <c r="B1104" s="89" t="s">
        <v>637</v>
      </c>
      <c r="C1104" s="89">
        <v>3374633</v>
      </c>
      <c r="D1104" s="89" t="s">
        <v>666</v>
      </c>
    </row>
    <row r="1105" spans="1:4" x14ac:dyDescent="0.25">
      <c r="A1105" s="89" t="s">
        <v>55</v>
      </c>
      <c r="B1105" s="89" t="s">
        <v>637</v>
      </c>
      <c r="C1105" s="89">
        <v>1684271.68</v>
      </c>
      <c r="D1105" s="89" t="s">
        <v>663</v>
      </c>
    </row>
    <row r="1106" spans="1:4" x14ac:dyDescent="0.25">
      <c r="A1106" s="89" t="s">
        <v>55</v>
      </c>
      <c r="B1106" s="89" t="s">
        <v>637</v>
      </c>
      <c r="C1106" s="89">
        <v>6661300</v>
      </c>
      <c r="D1106" s="89" t="s">
        <v>666</v>
      </c>
    </row>
    <row r="1107" spans="1:4" x14ac:dyDescent="0.25">
      <c r="A1107" s="89" t="s">
        <v>55</v>
      </c>
      <c r="B1107" s="89" t="s">
        <v>637</v>
      </c>
      <c r="C1107" s="89">
        <v>7064496</v>
      </c>
      <c r="D1107" s="89" t="s">
        <v>663</v>
      </c>
    </row>
    <row r="1108" spans="1:4" x14ac:dyDescent="0.25">
      <c r="A1108" s="89" t="s">
        <v>55</v>
      </c>
      <c r="B1108" s="89" t="s">
        <v>637</v>
      </c>
      <c r="C1108" s="89">
        <v>2730622</v>
      </c>
      <c r="D1108" s="89" t="s">
        <v>666</v>
      </c>
    </row>
    <row r="1109" spans="1:4" x14ac:dyDescent="0.25">
      <c r="A1109" s="89" t="s">
        <v>55</v>
      </c>
      <c r="B1109" s="89" t="s">
        <v>637</v>
      </c>
      <c r="C1109" s="89">
        <v>729114</v>
      </c>
      <c r="D1109" s="89" t="s">
        <v>664</v>
      </c>
    </row>
    <row r="1110" spans="1:4" x14ac:dyDescent="0.25">
      <c r="A1110" s="89" t="s">
        <v>55</v>
      </c>
      <c r="B1110" s="89" t="s">
        <v>637</v>
      </c>
      <c r="C1110" s="89">
        <v>299823.99</v>
      </c>
      <c r="D1110" s="89" t="s">
        <v>664</v>
      </c>
    </row>
    <row r="1111" spans="1:4" x14ac:dyDescent="0.25">
      <c r="A1111" s="89" t="s">
        <v>55</v>
      </c>
      <c r="B1111" s="89" t="s">
        <v>637</v>
      </c>
      <c r="C1111" s="89">
        <v>3773228</v>
      </c>
      <c r="D1111" s="89" t="s">
        <v>663</v>
      </c>
    </row>
    <row r="1112" spans="1:4" x14ac:dyDescent="0.25">
      <c r="A1112" s="89" t="s">
        <v>55</v>
      </c>
      <c r="B1112" s="89" t="s">
        <v>637</v>
      </c>
      <c r="C1112" s="89">
        <v>4940541.8099999996</v>
      </c>
      <c r="D1112" s="89" t="s">
        <v>663</v>
      </c>
    </row>
    <row r="1113" spans="1:4" x14ac:dyDescent="0.25">
      <c r="A1113" s="89" t="s">
        <v>55</v>
      </c>
      <c r="B1113" s="89" t="s">
        <v>637</v>
      </c>
      <c r="C1113" s="89">
        <v>3474638</v>
      </c>
      <c r="D1113" s="89" t="s">
        <v>666</v>
      </c>
    </row>
    <row r="1114" spans="1:4" x14ac:dyDescent="0.25">
      <c r="A1114" s="89" t="s">
        <v>55</v>
      </c>
      <c r="B1114" s="89" t="s">
        <v>637</v>
      </c>
      <c r="C1114" s="89">
        <v>1378417.56</v>
      </c>
      <c r="D1114" s="89" t="s">
        <v>663</v>
      </c>
    </row>
    <row r="1115" spans="1:4" x14ac:dyDescent="0.25">
      <c r="A1115" s="89" t="s">
        <v>55</v>
      </c>
      <c r="B1115" s="89" t="s">
        <v>637</v>
      </c>
      <c r="C1115" s="89">
        <v>6338758.5</v>
      </c>
      <c r="D1115" s="89" t="s">
        <v>663</v>
      </c>
    </row>
    <row r="1116" spans="1:4" x14ac:dyDescent="0.25">
      <c r="A1116" s="89" t="s">
        <v>55</v>
      </c>
      <c r="B1116" s="89" t="s">
        <v>637</v>
      </c>
      <c r="C1116" s="89">
        <v>3964257</v>
      </c>
      <c r="D1116" s="89" t="s">
        <v>666</v>
      </c>
    </row>
    <row r="1117" spans="1:4" x14ac:dyDescent="0.25">
      <c r="A1117" s="89" t="s">
        <v>55</v>
      </c>
      <c r="B1117" s="89" t="s">
        <v>637</v>
      </c>
      <c r="C1117" s="89">
        <v>1200000</v>
      </c>
      <c r="D1117" s="89" t="s">
        <v>666</v>
      </c>
    </row>
    <row r="1118" spans="1:4" x14ac:dyDescent="0.25">
      <c r="A1118" s="89" t="s">
        <v>55</v>
      </c>
      <c r="B1118" s="89" t="s">
        <v>637</v>
      </c>
      <c r="C1118" s="89">
        <v>542800</v>
      </c>
      <c r="D1118" s="89" t="s">
        <v>664</v>
      </c>
    </row>
    <row r="1119" spans="1:4" x14ac:dyDescent="0.25">
      <c r="A1119" s="89" t="s">
        <v>55</v>
      </c>
      <c r="B1119" s="89" t="s">
        <v>637</v>
      </c>
      <c r="C1119" s="89">
        <v>4600024</v>
      </c>
      <c r="D1119" s="89" t="s">
        <v>666</v>
      </c>
    </row>
    <row r="1120" spans="1:4" x14ac:dyDescent="0.25">
      <c r="A1120" s="89" t="s">
        <v>55</v>
      </c>
      <c r="B1120" s="89" t="s">
        <v>637</v>
      </c>
      <c r="C1120" s="89">
        <v>360450</v>
      </c>
      <c r="D1120" s="89" t="s">
        <v>664</v>
      </c>
    </row>
    <row r="1121" spans="1:4" x14ac:dyDescent="0.25">
      <c r="A1121" s="89" t="s">
        <v>55</v>
      </c>
      <c r="B1121" s="89" t="s">
        <v>637</v>
      </c>
      <c r="C1121" s="89">
        <v>300000</v>
      </c>
      <c r="D1121" s="89" t="s">
        <v>666</v>
      </c>
    </row>
    <row r="1122" spans="1:4" x14ac:dyDescent="0.25">
      <c r="A1122" s="89" t="s">
        <v>55</v>
      </c>
      <c r="B1122" s="89" t="s">
        <v>637</v>
      </c>
      <c r="C1122" s="89">
        <v>135700</v>
      </c>
      <c r="D1122" s="89" t="s">
        <v>664</v>
      </c>
    </row>
    <row r="1123" spans="1:4" x14ac:dyDescent="0.25">
      <c r="A1123" s="89" t="s">
        <v>55</v>
      </c>
      <c r="B1123" s="89" t="s">
        <v>637</v>
      </c>
      <c r="C1123" s="89">
        <v>1791961</v>
      </c>
      <c r="D1123" s="89" t="s">
        <v>663</v>
      </c>
    </row>
    <row r="1124" spans="1:4" x14ac:dyDescent="0.25">
      <c r="A1124" s="89" t="s">
        <v>55</v>
      </c>
      <c r="B1124" s="89" t="s">
        <v>637</v>
      </c>
      <c r="C1124" s="89">
        <v>1952318</v>
      </c>
      <c r="D1124" s="89" t="s">
        <v>666</v>
      </c>
    </row>
    <row r="1125" spans="1:4" x14ac:dyDescent="0.25">
      <c r="A1125" s="89" t="s">
        <v>55</v>
      </c>
      <c r="B1125" s="89" t="s">
        <v>637</v>
      </c>
      <c r="C1125" s="89">
        <v>883150</v>
      </c>
      <c r="D1125" s="89" t="s">
        <v>666</v>
      </c>
    </row>
    <row r="1126" spans="1:4" x14ac:dyDescent="0.25">
      <c r="A1126" s="89" t="s">
        <v>55</v>
      </c>
      <c r="B1126" s="89" t="s">
        <v>637</v>
      </c>
      <c r="C1126" s="89">
        <v>718845</v>
      </c>
      <c r="D1126" s="89" t="s">
        <v>663</v>
      </c>
    </row>
    <row r="1127" spans="1:4" x14ac:dyDescent="0.25">
      <c r="A1127" s="89" t="s">
        <v>55</v>
      </c>
      <c r="B1127" s="89" t="s">
        <v>637</v>
      </c>
      <c r="C1127" s="89">
        <v>6896214.4699999997</v>
      </c>
      <c r="D1127" s="89" t="s">
        <v>666</v>
      </c>
    </row>
    <row r="1128" spans="1:4" x14ac:dyDescent="0.25">
      <c r="A1128" s="89" t="s">
        <v>55</v>
      </c>
      <c r="B1128" s="89" t="s">
        <v>637</v>
      </c>
      <c r="C1128" s="89">
        <v>6176979</v>
      </c>
      <c r="D1128" s="89" t="s">
        <v>663</v>
      </c>
    </row>
    <row r="1129" spans="1:4" x14ac:dyDescent="0.25">
      <c r="A1129" s="89" t="s">
        <v>55</v>
      </c>
      <c r="B1129" s="89" t="s">
        <v>637</v>
      </c>
      <c r="C1129" s="89">
        <v>2825104</v>
      </c>
      <c r="D1129" s="89" t="s">
        <v>664</v>
      </c>
    </row>
    <row r="1130" spans="1:4" x14ac:dyDescent="0.25">
      <c r="A1130" s="89" t="s">
        <v>55</v>
      </c>
      <c r="B1130" s="89" t="s">
        <v>637</v>
      </c>
      <c r="C1130" s="89">
        <v>-104750.56</v>
      </c>
      <c r="D1130" s="89" t="s">
        <v>664</v>
      </c>
    </row>
    <row r="1131" spans="1:4" x14ac:dyDescent="0.25">
      <c r="A1131" s="89" t="s">
        <v>55</v>
      </c>
      <c r="B1131" s="89" t="s">
        <v>637</v>
      </c>
      <c r="C1131" s="89">
        <v>9693580.4900000002</v>
      </c>
      <c r="D1131" s="89" t="s">
        <v>663</v>
      </c>
    </row>
    <row r="1132" spans="1:4" x14ac:dyDescent="0.25">
      <c r="A1132" s="89" t="s">
        <v>55</v>
      </c>
      <c r="B1132" s="89" t="s">
        <v>637</v>
      </c>
      <c r="C1132" s="89">
        <v>2026352</v>
      </c>
      <c r="D1132" s="89" t="s">
        <v>664</v>
      </c>
    </row>
    <row r="1133" spans="1:4" x14ac:dyDescent="0.25">
      <c r="A1133" s="89" t="s">
        <v>55</v>
      </c>
      <c r="B1133" s="89" t="s">
        <v>637</v>
      </c>
      <c r="C1133" s="89">
        <v>5849810</v>
      </c>
      <c r="D1133" s="89" t="s">
        <v>664</v>
      </c>
    </row>
    <row r="1134" spans="1:4" x14ac:dyDescent="0.25">
      <c r="A1134" s="89" t="s">
        <v>55</v>
      </c>
      <c r="B1134" s="89" t="s">
        <v>637</v>
      </c>
      <c r="C1134" s="89">
        <v>681163</v>
      </c>
      <c r="D1134" s="89" t="s">
        <v>663</v>
      </c>
    </row>
    <row r="1135" spans="1:4" x14ac:dyDescent="0.25">
      <c r="A1135" s="89" t="s">
        <v>55</v>
      </c>
      <c r="B1135" s="89" t="s">
        <v>637</v>
      </c>
      <c r="C1135" s="89">
        <v>6064583</v>
      </c>
      <c r="D1135" s="89" t="s">
        <v>664</v>
      </c>
    </row>
    <row r="1136" spans="1:4" x14ac:dyDescent="0.25">
      <c r="A1136" s="89" t="s">
        <v>55</v>
      </c>
      <c r="B1136" s="89" t="s">
        <v>637</v>
      </c>
      <c r="C1136" s="89">
        <v>7227275</v>
      </c>
      <c r="D1136" s="89" t="s">
        <v>663</v>
      </c>
    </row>
    <row r="1137" spans="1:4" x14ac:dyDescent="0.25">
      <c r="A1137" s="89" t="s">
        <v>55</v>
      </c>
      <c r="B1137" s="89" t="s">
        <v>637</v>
      </c>
      <c r="C1137" s="89">
        <v>22133228</v>
      </c>
      <c r="D1137" s="89" t="s">
        <v>663</v>
      </c>
    </row>
    <row r="1138" spans="1:4" x14ac:dyDescent="0.25">
      <c r="A1138" s="89" t="s">
        <v>55</v>
      </c>
      <c r="B1138" s="89" t="s">
        <v>637</v>
      </c>
      <c r="C1138" s="89">
        <v>413119</v>
      </c>
      <c r="D1138" s="89" t="s">
        <v>666</v>
      </c>
    </row>
    <row r="1139" spans="1:4" x14ac:dyDescent="0.25">
      <c r="A1139" s="89" t="s">
        <v>55</v>
      </c>
      <c r="B1139" s="89" t="s">
        <v>637</v>
      </c>
      <c r="C1139" s="89">
        <v>622307</v>
      </c>
      <c r="D1139" s="89" t="s">
        <v>664</v>
      </c>
    </row>
    <row r="1140" spans="1:4" x14ac:dyDescent="0.25">
      <c r="A1140" s="89" t="s">
        <v>55</v>
      </c>
      <c r="B1140" s="89" t="s">
        <v>637</v>
      </c>
      <c r="C1140" s="89">
        <v>1420382</v>
      </c>
      <c r="D1140" s="89" t="s">
        <v>666</v>
      </c>
    </row>
    <row r="1141" spans="1:4" x14ac:dyDescent="0.25">
      <c r="A1141" s="89" t="s">
        <v>55</v>
      </c>
      <c r="B1141" s="89" t="s">
        <v>637</v>
      </c>
      <c r="C1141" s="89">
        <v>3053205</v>
      </c>
      <c r="D1141" s="89" t="s">
        <v>664</v>
      </c>
    </row>
    <row r="1142" spans="1:4" x14ac:dyDescent="0.25">
      <c r="A1142" s="89" t="s">
        <v>55</v>
      </c>
      <c r="B1142" s="89" t="s">
        <v>637</v>
      </c>
      <c r="C1142" s="89">
        <v>4899526</v>
      </c>
      <c r="D1142" s="89" t="s">
        <v>666</v>
      </c>
    </row>
    <row r="1143" spans="1:4" x14ac:dyDescent="0.25">
      <c r="A1143" s="89" t="s">
        <v>55</v>
      </c>
      <c r="B1143" s="89" t="s">
        <v>637</v>
      </c>
      <c r="C1143" s="89">
        <v>1106850.19</v>
      </c>
      <c r="D1143" s="89" t="s">
        <v>666</v>
      </c>
    </row>
    <row r="1144" spans="1:4" x14ac:dyDescent="0.25">
      <c r="A1144" s="89" t="s">
        <v>55</v>
      </c>
      <c r="B1144" s="89" t="s">
        <v>637</v>
      </c>
      <c r="C1144" s="89">
        <v>2400800</v>
      </c>
      <c r="D1144" s="89" t="s">
        <v>666</v>
      </c>
    </row>
    <row r="1145" spans="1:4" x14ac:dyDescent="0.25">
      <c r="A1145" s="89" t="s">
        <v>55</v>
      </c>
      <c r="B1145" s="89" t="s">
        <v>637</v>
      </c>
      <c r="C1145" s="89">
        <v>397930.83</v>
      </c>
      <c r="D1145" s="89" t="s">
        <v>664</v>
      </c>
    </row>
    <row r="1146" spans="1:4" x14ac:dyDescent="0.25">
      <c r="A1146" s="89" t="s">
        <v>55</v>
      </c>
      <c r="B1146" s="89" t="s">
        <v>637</v>
      </c>
      <c r="C1146" s="89">
        <v>6770109</v>
      </c>
      <c r="D1146" s="89" t="s">
        <v>663</v>
      </c>
    </row>
    <row r="1147" spans="1:4" x14ac:dyDescent="0.25">
      <c r="A1147" s="89" t="s">
        <v>55</v>
      </c>
      <c r="B1147" s="89" t="s">
        <v>637</v>
      </c>
      <c r="C1147" s="89">
        <v>40640580</v>
      </c>
      <c r="D1147" s="89" t="s">
        <v>666</v>
      </c>
    </row>
    <row r="1148" spans="1:4" x14ac:dyDescent="0.25">
      <c r="A1148" s="89" t="s">
        <v>55</v>
      </c>
      <c r="B1148" s="89" t="s">
        <v>637</v>
      </c>
      <c r="C1148" s="89">
        <v>50000</v>
      </c>
      <c r="D1148" s="89" t="s">
        <v>666</v>
      </c>
    </row>
    <row r="1149" spans="1:4" x14ac:dyDescent="0.25">
      <c r="A1149" s="89" t="s">
        <v>55</v>
      </c>
      <c r="B1149" s="89" t="s">
        <v>637</v>
      </c>
      <c r="C1149" s="89">
        <v>3739194.52</v>
      </c>
      <c r="D1149" s="89" t="s">
        <v>666</v>
      </c>
    </row>
    <row r="1150" spans="1:4" x14ac:dyDescent="0.25">
      <c r="A1150" s="89" t="s">
        <v>55</v>
      </c>
      <c r="B1150" s="89" t="s">
        <v>637</v>
      </c>
      <c r="C1150" s="89">
        <v>4066066.61</v>
      </c>
      <c r="D1150" s="89" t="s">
        <v>663</v>
      </c>
    </row>
    <row r="1151" spans="1:4" x14ac:dyDescent="0.25">
      <c r="A1151" s="89" t="s">
        <v>55</v>
      </c>
      <c r="B1151" s="89" t="s">
        <v>637</v>
      </c>
      <c r="C1151" s="89">
        <v>17114218</v>
      </c>
      <c r="D1151" s="89" t="s">
        <v>664</v>
      </c>
    </row>
    <row r="1152" spans="1:4" x14ac:dyDescent="0.25">
      <c r="A1152" s="89" t="s">
        <v>55</v>
      </c>
      <c r="B1152" s="89" t="s">
        <v>637</v>
      </c>
      <c r="C1152" s="89">
        <v>2455872.16</v>
      </c>
      <c r="D1152" s="89" t="s">
        <v>666</v>
      </c>
    </row>
    <row r="1153" spans="1:4" x14ac:dyDescent="0.25">
      <c r="A1153" s="89" t="s">
        <v>55</v>
      </c>
      <c r="B1153" s="89" t="s">
        <v>637</v>
      </c>
      <c r="C1153" s="89">
        <v>-59342.25</v>
      </c>
      <c r="D1153" s="89" t="s">
        <v>664</v>
      </c>
    </row>
    <row r="1154" spans="1:4" x14ac:dyDescent="0.25">
      <c r="A1154" s="89" t="s">
        <v>55</v>
      </c>
      <c r="B1154" s="89" t="s">
        <v>637</v>
      </c>
      <c r="C1154" s="89">
        <v>10520827.220000001</v>
      </c>
      <c r="D1154" s="89" t="s">
        <v>666</v>
      </c>
    </row>
    <row r="1155" spans="1:4" x14ac:dyDescent="0.25">
      <c r="A1155" s="89" t="s">
        <v>55</v>
      </c>
      <c r="B1155" s="89" t="s">
        <v>637</v>
      </c>
      <c r="C1155" s="89">
        <v>-28069.68</v>
      </c>
      <c r="D1155" s="89" t="s">
        <v>664</v>
      </c>
    </row>
    <row r="1156" spans="1:4" x14ac:dyDescent="0.25">
      <c r="A1156" s="89" t="s">
        <v>55</v>
      </c>
      <c r="B1156" s="89" t="s">
        <v>637</v>
      </c>
      <c r="C1156" s="89">
        <v>1453482</v>
      </c>
      <c r="D1156" s="89" t="s">
        <v>666</v>
      </c>
    </row>
    <row r="1157" spans="1:4" x14ac:dyDescent="0.25">
      <c r="A1157" s="89" t="s">
        <v>55</v>
      </c>
      <c r="B1157" s="89" t="s">
        <v>637</v>
      </c>
      <c r="C1157" s="89">
        <v>515255</v>
      </c>
      <c r="D1157" s="89" t="s">
        <v>664</v>
      </c>
    </row>
    <row r="1158" spans="1:4" x14ac:dyDescent="0.25">
      <c r="A1158" s="89" t="s">
        <v>55</v>
      </c>
      <c r="B1158" s="89" t="s">
        <v>637</v>
      </c>
      <c r="C1158" s="89">
        <v>543188</v>
      </c>
      <c r="D1158" s="89" t="s">
        <v>664</v>
      </c>
    </row>
    <row r="1159" spans="1:4" x14ac:dyDescent="0.25">
      <c r="A1159" s="89" t="s">
        <v>55</v>
      </c>
      <c r="B1159" s="89" t="s">
        <v>637</v>
      </c>
      <c r="C1159" s="89">
        <v>25044095</v>
      </c>
      <c r="D1159" s="89" t="s">
        <v>664</v>
      </c>
    </row>
    <row r="1160" spans="1:4" x14ac:dyDescent="0.25">
      <c r="A1160" s="89" t="s">
        <v>55</v>
      </c>
      <c r="B1160" s="89" t="s">
        <v>637</v>
      </c>
      <c r="C1160" s="89">
        <v>28069.68</v>
      </c>
      <c r="D1160" s="89" t="s">
        <v>664</v>
      </c>
    </row>
    <row r="1161" spans="1:4" x14ac:dyDescent="0.25">
      <c r="A1161" s="89" t="s">
        <v>208</v>
      </c>
      <c r="B1161" s="89" t="s">
        <v>615</v>
      </c>
      <c r="C1161" s="89">
        <v>593870</v>
      </c>
      <c r="D1161" s="89" t="s">
        <v>663</v>
      </c>
    </row>
    <row r="1162" spans="1:4" x14ac:dyDescent="0.25">
      <c r="A1162" s="89" t="s">
        <v>208</v>
      </c>
      <c r="B1162" s="89" t="s">
        <v>615</v>
      </c>
      <c r="C1162" s="89">
        <v>550890</v>
      </c>
      <c r="D1162" s="89" t="s">
        <v>663</v>
      </c>
    </row>
    <row r="1163" spans="1:4" x14ac:dyDescent="0.25">
      <c r="A1163" s="89" t="s">
        <v>208</v>
      </c>
      <c r="B1163" s="89" t="s">
        <v>615</v>
      </c>
      <c r="C1163" s="89">
        <v>730811</v>
      </c>
      <c r="D1163" s="89" t="s">
        <v>663</v>
      </c>
    </row>
    <row r="1164" spans="1:4" x14ac:dyDescent="0.25">
      <c r="A1164" s="89" t="s">
        <v>208</v>
      </c>
      <c r="B1164" s="89" t="s">
        <v>615</v>
      </c>
      <c r="C1164" s="89">
        <v>216385</v>
      </c>
      <c r="D1164" s="89" t="s">
        <v>663</v>
      </c>
    </row>
    <row r="1165" spans="1:4" x14ac:dyDescent="0.25">
      <c r="A1165" s="89" t="s">
        <v>208</v>
      </c>
      <c r="B1165" s="89" t="s">
        <v>615</v>
      </c>
      <c r="C1165" s="89">
        <v>99590</v>
      </c>
      <c r="D1165" s="89" t="s">
        <v>663</v>
      </c>
    </row>
    <row r="1166" spans="1:4" x14ac:dyDescent="0.25">
      <c r="A1166" s="89" t="s">
        <v>208</v>
      </c>
      <c r="B1166" s="89" t="s">
        <v>615</v>
      </c>
      <c r="C1166" s="89">
        <v>653048</v>
      </c>
      <c r="D1166" s="89" t="s">
        <v>663</v>
      </c>
    </row>
    <row r="1167" spans="1:4" x14ac:dyDescent="0.25">
      <c r="A1167" s="89" t="s">
        <v>208</v>
      </c>
      <c r="B1167" s="89" t="s">
        <v>615</v>
      </c>
      <c r="C1167" s="89">
        <v>2295378</v>
      </c>
      <c r="D1167" s="89" t="s">
        <v>663</v>
      </c>
    </row>
    <row r="1168" spans="1:4" x14ac:dyDescent="0.25">
      <c r="A1168" s="89" t="s">
        <v>208</v>
      </c>
      <c r="B1168" s="89" t="s">
        <v>615</v>
      </c>
      <c r="C1168" s="89">
        <v>325290</v>
      </c>
      <c r="D1168" s="89" t="s">
        <v>663</v>
      </c>
    </row>
    <row r="1169" spans="1:4" x14ac:dyDescent="0.25">
      <c r="A1169" s="89" t="s">
        <v>208</v>
      </c>
      <c r="B1169" s="89" t="s">
        <v>615</v>
      </c>
      <c r="C1169" s="89">
        <v>-111398</v>
      </c>
      <c r="D1169" s="89" t="s">
        <v>663</v>
      </c>
    </row>
    <row r="1170" spans="1:4" x14ac:dyDescent="0.25">
      <c r="A1170" s="89" t="s">
        <v>208</v>
      </c>
      <c r="B1170" s="89" t="s">
        <v>615</v>
      </c>
      <c r="C1170" s="89">
        <v>2373295.7400000002</v>
      </c>
      <c r="D1170" s="89" t="s">
        <v>664</v>
      </c>
    </row>
    <row r="1171" spans="1:4" x14ac:dyDescent="0.25">
      <c r="A1171" s="89" t="s">
        <v>208</v>
      </c>
      <c r="B1171" s="89" t="s">
        <v>615</v>
      </c>
      <c r="C1171" s="89">
        <v>4457765.96</v>
      </c>
      <c r="D1171" s="89" t="s">
        <v>664</v>
      </c>
    </row>
    <row r="1172" spans="1:4" x14ac:dyDescent="0.25">
      <c r="A1172" s="89" t="s">
        <v>208</v>
      </c>
      <c r="B1172" s="89" t="s">
        <v>615</v>
      </c>
      <c r="C1172" s="89">
        <v>376778.83</v>
      </c>
      <c r="D1172" s="89" t="s">
        <v>663</v>
      </c>
    </row>
    <row r="1173" spans="1:4" x14ac:dyDescent="0.25">
      <c r="A1173" s="89" t="s">
        <v>208</v>
      </c>
      <c r="B1173" s="89" t="s">
        <v>615</v>
      </c>
      <c r="C1173" s="89">
        <v>-11138</v>
      </c>
      <c r="D1173" s="89" t="s">
        <v>663</v>
      </c>
    </row>
    <row r="1174" spans="1:4" x14ac:dyDescent="0.25">
      <c r="A1174" s="89" t="s">
        <v>208</v>
      </c>
      <c r="B1174" s="89" t="s">
        <v>615</v>
      </c>
      <c r="C1174" s="89">
        <v>297897</v>
      </c>
      <c r="D1174" s="89" t="s">
        <v>663</v>
      </c>
    </row>
    <row r="1175" spans="1:4" x14ac:dyDescent="0.25">
      <c r="A1175" s="89" t="s">
        <v>208</v>
      </c>
      <c r="B1175" s="89" t="s">
        <v>615</v>
      </c>
      <c r="C1175" s="89">
        <v>1148311</v>
      </c>
      <c r="D1175" s="89" t="s">
        <v>663</v>
      </c>
    </row>
    <row r="1176" spans="1:4" x14ac:dyDescent="0.25">
      <c r="A1176" s="89" t="s">
        <v>208</v>
      </c>
      <c r="B1176" s="89" t="s">
        <v>615</v>
      </c>
      <c r="C1176" s="89">
        <v>668994.9</v>
      </c>
      <c r="D1176" s="89" t="s">
        <v>664</v>
      </c>
    </row>
    <row r="1177" spans="1:4" x14ac:dyDescent="0.25">
      <c r="A1177" s="89" t="s">
        <v>208</v>
      </c>
      <c r="B1177" s="89" t="s">
        <v>615</v>
      </c>
      <c r="C1177" s="89">
        <v>610356</v>
      </c>
      <c r="D1177" s="89" t="s">
        <v>663</v>
      </c>
    </row>
    <row r="1178" spans="1:4" x14ac:dyDescent="0.25">
      <c r="A1178" s="89" t="s">
        <v>208</v>
      </c>
      <c r="B1178" s="89" t="s">
        <v>615</v>
      </c>
      <c r="C1178" s="89">
        <v>1904487.7</v>
      </c>
      <c r="D1178" s="89" t="s">
        <v>664</v>
      </c>
    </row>
    <row r="1179" spans="1:4" x14ac:dyDescent="0.25">
      <c r="A1179" s="89" t="s">
        <v>208</v>
      </c>
      <c r="B1179" s="89" t="s">
        <v>615</v>
      </c>
      <c r="C1179" s="89">
        <v>287342</v>
      </c>
      <c r="D1179" s="89" t="s">
        <v>663</v>
      </c>
    </row>
    <row r="1180" spans="1:4" x14ac:dyDescent="0.25">
      <c r="A1180" s="89" t="s">
        <v>208</v>
      </c>
      <c r="B1180" s="89" t="s">
        <v>615</v>
      </c>
      <c r="C1180" s="89">
        <v>446658</v>
      </c>
      <c r="D1180" s="89" t="s">
        <v>663</v>
      </c>
    </row>
    <row r="1181" spans="1:4" x14ac:dyDescent="0.25">
      <c r="A1181" s="89" t="s">
        <v>208</v>
      </c>
      <c r="B1181" s="89" t="s">
        <v>615</v>
      </c>
      <c r="C1181" s="89">
        <v>3287493.03</v>
      </c>
      <c r="D1181" s="89" t="s">
        <v>664</v>
      </c>
    </row>
    <row r="1182" spans="1:4" x14ac:dyDescent="0.25">
      <c r="A1182" s="89" t="s">
        <v>208</v>
      </c>
      <c r="B1182" s="89" t="s">
        <v>615</v>
      </c>
      <c r="C1182" s="89">
        <v>1084220.8799999999</v>
      </c>
      <c r="D1182" s="89" t="s">
        <v>664</v>
      </c>
    </row>
    <row r="1183" spans="1:4" x14ac:dyDescent="0.25">
      <c r="A1183" s="89" t="s">
        <v>208</v>
      </c>
      <c r="B1183" s="89" t="s">
        <v>615</v>
      </c>
      <c r="C1183" s="89">
        <v>3679344.13</v>
      </c>
      <c r="D1183" s="89" t="s">
        <v>663</v>
      </c>
    </row>
    <row r="1184" spans="1:4" x14ac:dyDescent="0.25">
      <c r="A1184" s="89" t="s">
        <v>98</v>
      </c>
      <c r="B1184" s="89" t="s">
        <v>617</v>
      </c>
      <c r="C1184" s="89">
        <v>302474</v>
      </c>
      <c r="D1184" s="89" t="s">
        <v>664</v>
      </c>
    </row>
    <row r="1185" spans="1:4" x14ac:dyDescent="0.25">
      <c r="A1185" s="89" t="s">
        <v>98</v>
      </c>
      <c r="B1185" s="89" t="s">
        <v>617</v>
      </c>
      <c r="C1185" s="89">
        <v>215203</v>
      </c>
      <c r="D1185" s="89" t="s">
        <v>663</v>
      </c>
    </row>
    <row r="1186" spans="1:4" x14ac:dyDescent="0.25">
      <c r="A1186" s="89" t="s">
        <v>98</v>
      </c>
      <c r="B1186" s="89" t="s">
        <v>617</v>
      </c>
      <c r="C1186" s="89">
        <v>176905</v>
      </c>
      <c r="D1186" s="89" t="s">
        <v>664</v>
      </c>
    </row>
    <row r="1187" spans="1:4" x14ac:dyDescent="0.25">
      <c r="A1187" s="89" t="s">
        <v>98</v>
      </c>
      <c r="B1187" s="89" t="s">
        <v>617</v>
      </c>
      <c r="C1187" s="89">
        <v>390246</v>
      </c>
      <c r="D1187" s="89" t="s">
        <v>664</v>
      </c>
    </row>
    <row r="1188" spans="1:4" x14ac:dyDescent="0.25">
      <c r="A1188" s="89" t="s">
        <v>98</v>
      </c>
      <c r="B1188" s="89" t="s">
        <v>617</v>
      </c>
      <c r="C1188" s="89">
        <v>80825</v>
      </c>
      <c r="D1188" s="89" t="s">
        <v>664</v>
      </c>
    </row>
    <row r="1189" spans="1:4" x14ac:dyDescent="0.25">
      <c r="A1189" s="89" t="s">
        <v>98</v>
      </c>
      <c r="B1189" s="89" t="s">
        <v>617</v>
      </c>
      <c r="C1189" s="89">
        <v>44225.8</v>
      </c>
      <c r="D1189" s="89" t="s">
        <v>663</v>
      </c>
    </row>
    <row r="1190" spans="1:4" x14ac:dyDescent="0.25">
      <c r="A1190" s="89" t="s">
        <v>98</v>
      </c>
      <c r="B1190" s="89" t="s">
        <v>617</v>
      </c>
      <c r="C1190" s="89">
        <v>25800</v>
      </c>
      <c r="D1190" s="89" t="s">
        <v>663</v>
      </c>
    </row>
    <row r="1191" spans="1:4" x14ac:dyDescent="0.25">
      <c r="A1191" s="89" t="s">
        <v>98</v>
      </c>
      <c r="B1191" s="89" t="s">
        <v>617</v>
      </c>
      <c r="C1191" s="89">
        <v>152060</v>
      </c>
      <c r="D1191" s="89" t="s">
        <v>664</v>
      </c>
    </row>
    <row r="1192" spans="1:4" x14ac:dyDescent="0.25">
      <c r="A1192" s="89" t="s">
        <v>98</v>
      </c>
      <c r="B1192" s="89" t="s">
        <v>617</v>
      </c>
      <c r="C1192" s="89">
        <v>2114639.34</v>
      </c>
      <c r="D1192" s="89" t="s">
        <v>664</v>
      </c>
    </row>
    <row r="1193" spans="1:4" x14ac:dyDescent="0.25">
      <c r="A1193" s="89" t="s">
        <v>98</v>
      </c>
      <c r="B1193" s="89" t="s">
        <v>617</v>
      </c>
      <c r="C1193" s="89">
        <v>121431.4</v>
      </c>
      <c r="D1193" s="89" t="s">
        <v>664</v>
      </c>
    </row>
    <row r="1194" spans="1:4" x14ac:dyDescent="0.25">
      <c r="A1194" s="89" t="s">
        <v>98</v>
      </c>
      <c r="B1194" s="89" t="s">
        <v>617</v>
      </c>
      <c r="C1194" s="89">
        <v>89418.7</v>
      </c>
      <c r="D1194" s="89" t="s">
        <v>663</v>
      </c>
    </row>
    <row r="1195" spans="1:4" x14ac:dyDescent="0.25">
      <c r="A1195" s="89" t="s">
        <v>98</v>
      </c>
      <c r="B1195" s="89" t="s">
        <v>617</v>
      </c>
      <c r="C1195" s="89">
        <v>455769</v>
      </c>
      <c r="D1195" s="89" t="s">
        <v>664</v>
      </c>
    </row>
    <row r="1196" spans="1:4" x14ac:dyDescent="0.25">
      <c r="A1196" s="89" t="s">
        <v>98</v>
      </c>
      <c r="B1196" s="89" t="s">
        <v>617</v>
      </c>
      <c r="C1196" s="89">
        <v>599483</v>
      </c>
      <c r="D1196" s="89" t="s">
        <v>664</v>
      </c>
    </row>
    <row r="1197" spans="1:4" x14ac:dyDescent="0.25">
      <c r="A1197" s="89" t="s">
        <v>98</v>
      </c>
      <c r="B1197" s="89" t="s">
        <v>617</v>
      </c>
      <c r="C1197" s="89">
        <v>177803.87</v>
      </c>
      <c r="D1197" s="89" t="s">
        <v>663</v>
      </c>
    </row>
    <row r="1198" spans="1:4" x14ac:dyDescent="0.25">
      <c r="A1198" s="89" t="s">
        <v>98</v>
      </c>
      <c r="B1198" s="89" t="s">
        <v>617</v>
      </c>
      <c r="C1198" s="89">
        <v>420285</v>
      </c>
      <c r="D1198" s="89" t="s">
        <v>663</v>
      </c>
    </row>
    <row r="1199" spans="1:4" x14ac:dyDescent="0.25">
      <c r="A1199" s="89" t="s">
        <v>98</v>
      </c>
      <c r="B1199" s="89" t="s">
        <v>617</v>
      </c>
      <c r="C1199" s="89">
        <v>194506</v>
      </c>
      <c r="D1199" s="89" t="s">
        <v>664</v>
      </c>
    </row>
    <row r="1200" spans="1:4" x14ac:dyDescent="0.25">
      <c r="A1200" s="89" t="s">
        <v>98</v>
      </c>
      <c r="B1200" s="89" t="s">
        <v>617</v>
      </c>
      <c r="C1200" s="89">
        <v>63582</v>
      </c>
      <c r="D1200" s="89" t="s">
        <v>663</v>
      </c>
    </row>
    <row r="1201" spans="1:4" x14ac:dyDescent="0.25">
      <c r="A1201" s="89" t="s">
        <v>98</v>
      </c>
      <c r="B1201" s="89" t="s">
        <v>617</v>
      </c>
      <c r="C1201" s="89">
        <v>350685.62</v>
      </c>
      <c r="D1201" s="89" t="s">
        <v>663</v>
      </c>
    </row>
    <row r="1202" spans="1:4" x14ac:dyDescent="0.25">
      <c r="A1202" s="89" t="s">
        <v>98</v>
      </c>
      <c r="B1202" s="89" t="s">
        <v>617</v>
      </c>
      <c r="C1202" s="89">
        <v>192505.3</v>
      </c>
      <c r="D1202" s="89" t="s">
        <v>664</v>
      </c>
    </row>
    <row r="1203" spans="1:4" x14ac:dyDescent="0.25">
      <c r="A1203" s="89" t="s">
        <v>98</v>
      </c>
      <c r="B1203" s="89" t="s">
        <v>617</v>
      </c>
      <c r="C1203" s="89">
        <v>70202.77</v>
      </c>
      <c r="D1203" s="89" t="s">
        <v>664</v>
      </c>
    </row>
    <row r="1204" spans="1:4" x14ac:dyDescent="0.25">
      <c r="A1204" s="89" t="s">
        <v>98</v>
      </c>
      <c r="B1204" s="89" t="s">
        <v>617</v>
      </c>
      <c r="C1204" s="89">
        <v>50144.3</v>
      </c>
      <c r="D1204" s="89" t="s">
        <v>663</v>
      </c>
    </row>
    <row r="1205" spans="1:4" x14ac:dyDescent="0.25">
      <c r="A1205" s="89" t="s">
        <v>98</v>
      </c>
      <c r="B1205" s="89" t="s">
        <v>617</v>
      </c>
      <c r="C1205" s="89">
        <v>60903.38</v>
      </c>
      <c r="D1205" s="89" t="s">
        <v>664</v>
      </c>
    </row>
    <row r="1206" spans="1:4" x14ac:dyDescent="0.25">
      <c r="A1206" s="89" t="s">
        <v>98</v>
      </c>
      <c r="B1206" s="89" t="s">
        <v>617</v>
      </c>
      <c r="C1206" s="89">
        <v>48763</v>
      </c>
      <c r="D1206" s="89" t="s">
        <v>663</v>
      </c>
    </row>
    <row r="1207" spans="1:4" x14ac:dyDescent="0.25">
      <c r="A1207" s="89" t="s">
        <v>98</v>
      </c>
      <c r="B1207" s="89" t="s">
        <v>617</v>
      </c>
      <c r="C1207" s="89">
        <v>111946.78</v>
      </c>
      <c r="D1207" s="89" t="s">
        <v>664</v>
      </c>
    </row>
    <row r="1208" spans="1:4" x14ac:dyDescent="0.25">
      <c r="A1208" s="89" t="s">
        <v>98</v>
      </c>
      <c r="B1208" s="89" t="s">
        <v>617</v>
      </c>
      <c r="C1208" s="89">
        <v>178431.87</v>
      </c>
      <c r="D1208" s="89" t="s">
        <v>664</v>
      </c>
    </row>
    <row r="1209" spans="1:4" x14ac:dyDescent="0.25">
      <c r="A1209" s="89" t="s">
        <v>98</v>
      </c>
      <c r="B1209" s="89" t="s">
        <v>617</v>
      </c>
      <c r="C1209" s="89">
        <v>547939.65</v>
      </c>
      <c r="D1209" s="89" t="s">
        <v>664</v>
      </c>
    </row>
    <row r="1210" spans="1:4" x14ac:dyDescent="0.25">
      <c r="A1210" s="89" t="s">
        <v>98</v>
      </c>
      <c r="B1210" s="89" t="s">
        <v>617</v>
      </c>
      <c r="C1210" s="89">
        <v>79881.320000000007</v>
      </c>
      <c r="D1210" s="89" t="s">
        <v>664</v>
      </c>
    </row>
    <row r="1211" spans="1:4" x14ac:dyDescent="0.25">
      <c r="A1211" s="89" t="s">
        <v>98</v>
      </c>
      <c r="B1211" s="89" t="s">
        <v>617</v>
      </c>
      <c r="C1211" s="89">
        <v>1421</v>
      </c>
      <c r="D1211" s="89" t="s">
        <v>663</v>
      </c>
    </row>
    <row r="1212" spans="1:4" x14ac:dyDescent="0.25">
      <c r="A1212" s="89" t="s">
        <v>98</v>
      </c>
      <c r="B1212" s="89" t="s">
        <v>617</v>
      </c>
      <c r="C1212" s="89">
        <v>24083.66</v>
      </c>
      <c r="D1212" s="89" t="s">
        <v>663</v>
      </c>
    </row>
    <row r="1213" spans="1:4" x14ac:dyDescent="0.25">
      <c r="A1213" s="89" t="s">
        <v>98</v>
      </c>
      <c r="B1213" s="89" t="s">
        <v>617</v>
      </c>
      <c r="C1213" s="89">
        <v>108758.48</v>
      </c>
      <c r="D1213" s="89" t="s">
        <v>664</v>
      </c>
    </row>
    <row r="1214" spans="1:4" x14ac:dyDescent="0.25">
      <c r="A1214" s="89" t="s">
        <v>98</v>
      </c>
      <c r="B1214" s="89" t="s">
        <v>617</v>
      </c>
      <c r="C1214" s="89">
        <v>638199.07999999996</v>
      </c>
      <c r="D1214" s="89" t="s">
        <v>663</v>
      </c>
    </row>
    <row r="1215" spans="1:4" x14ac:dyDescent="0.25">
      <c r="A1215" s="89" t="s">
        <v>98</v>
      </c>
      <c r="B1215" s="89" t="s">
        <v>617</v>
      </c>
      <c r="C1215" s="89">
        <v>1847978.75</v>
      </c>
      <c r="D1215" s="89" t="s">
        <v>664</v>
      </c>
    </row>
    <row r="1216" spans="1:4" x14ac:dyDescent="0.25">
      <c r="A1216" s="89" t="s">
        <v>207</v>
      </c>
      <c r="B1216" s="89" t="s">
        <v>616</v>
      </c>
      <c r="C1216" s="89">
        <v>2210753.66</v>
      </c>
      <c r="D1216" s="89" t="s">
        <v>663</v>
      </c>
    </row>
    <row r="1217" spans="1:4" x14ac:dyDescent="0.25">
      <c r="A1217" s="89" t="s">
        <v>207</v>
      </c>
      <c r="B1217" s="89" t="s">
        <v>616</v>
      </c>
      <c r="C1217" s="89">
        <v>805189.66</v>
      </c>
      <c r="D1217" s="89" t="s">
        <v>663</v>
      </c>
    </row>
    <row r="1218" spans="1:4" x14ac:dyDescent="0.25">
      <c r="A1218" s="89" t="s">
        <v>207</v>
      </c>
      <c r="B1218" s="89" t="s">
        <v>616</v>
      </c>
      <c r="C1218" s="89">
        <v>1398874.81</v>
      </c>
      <c r="D1218" s="89" t="s">
        <v>663</v>
      </c>
    </row>
    <row r="1219" spans="1:4" x14ac:dyDescent="0.25">
      <c r="A1219" s="89" t="s">
        <v>207</v>
      </c>
      <c r="B1219" s="89" t="s">
        <v>616</v>
      </c>
      <c r="C1219" s="89">
        <v>4699153.46</v>
      </c>
      <c r="D1219" s="89" t="s">
        <v>663</v>
      </c>
    </row>
    <row r="1220" spans="1:4" x14ac:dyDescent="0.25">
      <c r="A1220" s="89" t="s">
        <v>207</v>
      </c>
      <c r="B1220" s="89" t="s">
        <v>616</v>
      </c>
      <c r="C1220" s="89">
        <v>1243613</v>
      </c>
      <c r="D1220" s="89" t="s">
        <v>663</v>
      </c>
    </row>
    <row r="1221" spans="1:4" x14ac:dyDescent="0.25">
      <c r="A1221" s="89" t="s">
        <v>207</v>
      </c>
      <c r="B1221" s="89" t="s">
        <v>616</v>
      </c>
      <c r="C1221" s="89">
        <v>429962</v>
      </c>
      <c r="D1221" s="89" t="s">
        <v>663</v>
      </c>
    </row>
    <row r="1222" spans="1:4" x14ac:dyDescent="0.25">
      <c r="A1222" s="89" t="s">
        <v>207</v>
      </c>
      <c r="B1222" s="89" t="s">
        <v>616</v>
      </c>
      <c r="C1222" s="89">
        <v>2722270.4</v>
      </c>
      <c r="D1222" s="89" t="s">
        <v>663</v>
      </c>
    </row>
    <row r="1223" spans="1:4" x14ac:dyDescent="0.25">
      <c r="A1223" s="89" t="s">
        <v>207</v>
      </c>
      <c r="B1223" s="89" t="s">
        <v>616</v>
      </c>
      <c r="C1223" s="89">
        <v>651752.53</v>
      </c>
      <c r="D1223" s="89" t="s">
        <v>663</v>
      </c>
    </row>
    <row r="1224" spans="1:4" x14ac:dyDescent="0.25">
      <c r="A1224" s="89" t="s">
        <v>207</v>
      </c>
      <c r="B1224" s="89" t="s">
        <v>616</v>
      </c>
      <c r="C1224" s="89">
        <v>3981667</v>
      </c>
      <c r="D1224" s="89" t="s">
        <v>663</v>
      </c>
    </row>
    <row r="1225" spans="1:4" x14ac:dyDescent="0.25">
      <c r="A1225" s="89" t="s">
        <v>207</v>
      </c>
      <c r="B1225" s="89" t="s">
        <v>616</v>
      </c>
      <c r="C1225" s="89">
        <v>550055</v>
      </c>
      <c r="D1225" s="89" t="s">
        <v>663</v>
      </c>
    </row>
    <row r="1226" spans="1:4" x14ac:dyDescent="0.25">
      <c r="A1226" s="89" t="s">
        <v>207</v>
      </c>
      <c r="B1226" s="89" t="s">
        <v>616</v>
      </c>
      <c r="C1226" s="89">
        <v>640000</v>
      </c>
      <c r="D1226" s="89" t="s">
        <v>663</v>
      </c>
    </row>
    <row r="1227" spans="1:4" x14ac:dyDescent="0.25">
      <c r="A1227" s="89" t="s">
        <v>207</v>
      </c>
      <c r="B1227" s="89" t="s">
        <v>616</v>
      </c>
      <c r="C1227" s="89">
        <v>1505913</v>
      </c>
      <c r="D1227" s="89" t="s">
        <v>663</v>
      </c>
    </row>
    <row r="1228" spans="1:4" x14ac:dyDescent="0.25">
      <c r="A1228" s="89" t="s">
        <v>207</v>
      </c>
      <c r="B1228" s="89" t="s">
        <v>616</v>
      </c>
      <c r="C1228" s="89">
        <v>836380</v>
      </c>
      <c r="D1228" s="89" t="s">
        <v>663</v>
      </c>
    </row>
    <row r="1229" spans="1:4" x14ac:dyDescent="0.25">
      <c r="A1229" s="89" t="s">
        <v>207</v>
      </c>
      <c r="B1229" s="89" t="s">
        <v>616</v>
      </c>
      <c r="C1229" s="89">
        <v>366773.92</v>
      </c>
      <c r="D1229" s="89" t="s">
        <v>666</v>
      </c>
    </row>
    <row r="1230" spans="1:4" x14ac:dyDescent="0.25">
      <c r="A1230" s="89" t="s">
        <v>207</v>
      </c>
      <c r="B1230" s="89" t="s">
        <v>616</v>
      </c>
      <c r="C1230" s="89">
        <v>877945.13</v>
      </c>
      <c r="D1230" s="89" t="s">
        <v>664</v>
      </c>
    </row>
    <row r="1231" spans="1:4" x14ac:dyDescent="0.25">
      <c r="A1231" s="89" t="s">
        <v>207</v>
      </c>
      <c r="B1231" s="89" t="s">
        <v>616</v>
      </c>
      <c r="C1231" s="89">
        <v>8747607.7200000007</v>
      </c>
      <c r="D1231" s="89" t="s">
        <v>664</v>
      </c>
    </row>
    <row r="1232" spans="1:4" x14ac:dyDescent="0.25">
      <c r="A1232" s="89" t="s">
        <v>207</v>
      </c>
      <c r="B1232" s="89" t="s">
        <v>616</v>
      </c>
      <c r="C1232" s="89">
        <v>838585.9</v>
      </c>
      <c r="D1232" s="89" t="s">
        <v>663</v>
      </c>
    </row>
    <row r="1233" spans="1:4" x14ac:dyDescent="0.25">
      <c r="A1233" s="89" t="s">
        <v>207</v>
      </c>
      <c r="B1233" s="89" t="s">
        <v>616</v>
      </c>
      <c r="C1233" s="89">
        <v>956436.28</v>
      </c>
      <c r="D1233" s="89" t="s">
        <v>663</v>
      </c>
    </row>
    <row r="1234" spans="1:4" x14ac:dyDescent="0.25">
      <c r="A1234" s="89" t="s">
        <v>207</v>
      </c>
      <c r="B1234" s="89" t="s">
        <v>616</v>
      </c>
      <c r="C1234" s="89">
        <v>1740238.49</v>
      </c>
      <c r="D1234" s="89" t="s">
        <v>663</v>
      </c>
    </row>
    <row r="1235" spans="1:4" x14ac:dyDescent="0.25">
      <c r="A1235" s="89" t="s">
        <v>207</v>
      </c>
      <c r="B1235" s="89" t="s">
        <v>616</v>
      </c>
      <c r="C1235" s="89">
        <v>2226869.0099999998</v>
      </c>
      <c r="D1235" s="89" t="s">
        <v>663</v>
      </c>
    </row>
    <row r="1236" spans="1:4" x14ac:dyDescent="0.25">
      <c r="A1236" s="89" t="s">
        <v>207</v>
      </c>
      <c r="B1236" s="89" t="s">
        <v>616</v>
      </c>
      <c r="C1236" s="89">
        <v>613159.52</v>
      </c>
      <c r="D1236" s="89" t="s">
        <v>663</v>
      </c>
    </row>
    <row r="1237" spans="1:4" x14ac:dyDescent="0.25">
      <c r="A1237" s="89" t="s">
        <v>207</v>
      </c>
      <c r="B1237" s="89" t="s">
        <v>616</v>
      </c>
      <c r="C1237" s="89">
        <v>2236158.35</v>
      </c>
      <c r="D1237" s="89" t="s">
        <v>664</v>
      </c>
    </row>
    <row r="1238" spans="1:4" x14ac:dyDescent="0.25">
      <c r="A1238" s="89" t="s">
        <v>689</v>
      </c>
      <c r="B1238" s="89" t="s">
        <v>637</v>
      </c>
      <c r="C1238" s="89">
        <v>8763156</v>
      </c>
      <c r="D1238" s="89" t="s">
        <v>663</v>
      </c>
    </row>
    <row r="1239" spans="1:4" x14ac:dyDescent="0.25">
      <c r="A1239" s="89" t="s">
        <v>689</v>
      </c>
      <c r="B1239" s="89" t="s">
        <v>637</v>
      </c>
      <c r="C1239" s="89">
        <v>2728442</v>
      </c>
      <c r="D1239" s="89" t="s">
        <v>664</v>
      </c>
    </row>
    <row r="1240" spans="1:4" x14ac:dyDescent="0.25">
      <c r="A1240" s="89" t="s">
        <v>689</v>
      </c>
      <c r="B1240" s="89" t="s">
        <v>637</v>
      </c>
      <c r="C1240" s="89">
        <v>701481</v>
      </c>
      <c r="D1240" s="89" t="s">
        <v>666</v>
      </c>
    </row>
    <row r="1241" spans="1:4" x14ac:dyDescent="0.25">
      <c r="A1241" s="89" t="s">
        <v>689</v>
      </c>
      <c r="B1241" s="89" t="s">
        <v>637</v>
      </c>
      <c r="C1241" s="89">
        <v>3242862.76</v>
      </c>
      <c r="D1241" s="89" t="s">
        <v>663</v>
      </c>
    </row>
    <row r="1242" spans="1:4" x14ac:dyDescent="0.25">
      <c r="A1242" s="89" t="s">
        <v>689</v>
      </c>
      <c r="B1242" s="89" t="s">
        <v>637</v>
      </c>
      <c r="C1242" s="89">
        <v>1441185.54</v>
      </c>
      <c r="D1242" s="89" t="s">
        <v>664</v>
      </c>
    </row>
    <row r="1243" spans="1:4" x14ac:dyDescent="0.25">
      <c r="A1243" s="89" t="s">
        <v>689</v>
      </c>
      <c r="B1243" s="89" t="s">
        <v>637</v>
      </c>
      <c r="C1243" s="89">
        <v>291915</v>
      </c>
      <c r="D1243" s="89" t="s">
        <v>666</v>
      </c>
    </row>
    <row r="1244" spans="1:4" x14ac:dyDescent="0.25">
      <c r="A1244" s="89" t="s">
        <v>689</v>
      </c>
      <c r="B1244" s="89" t="s">
        <v>637</v>
      </c>
      <c r="C1244" s="89">
        <v>3026624</v>
      </c>
      <c r="D1244" s="89" t="s">
        <v>663</v>
      </c>
    </row>
    <row r="1245" spans="1:4" x14ac:dyDescent="0.25">
      <c r="A1245" s="89" t="s">
        <v>689</v>
      </c>
      <c r="B1245" s="89" t="s">
        <v>637</v>
      </c>
      <c r="C1245" s="89">
        <v>4314812</v>
      </c>
      <c r="D1245" s="89" t="s">
        <v>664</v>
      </c>
    </row>
    <row r="1246" spans="1:4" x14ac:dyDescent="0.25">
      <c r="A1246" s="89" t="s">
        <v>689</v>
      </c>
      <c r="B1246" s="89" t="s">
        <v>637</v>
      </c>
      <c r="C1246" s="89">
        <v>317567</v>
      </c>
      <c r="D1246" s="89" t="s">
        <v>666</v>
      </c>
    </row>
    <row r="1247" spans="1:4" x14ac:dyDescent="0.25">
      <c r="A1247" s="89" t="s">
        <v>689</v>
      </c>
      <c r="B1247" s="89" t="s">
        <v>637</v>
      </c>
      <c r="C1247" s="89">
        <v>505830</v>
      </c>
      <c r="D1247" s="89" t="s">
        <v>666</v>
      </c>
    </row>
    <row r="1248" spans="1:4" x14ac:dyDescent="0.25">
      <c r="A1248" s="89" t="s">
        <v>689</v>
      </c>
      <c r="B1248" s="89" t="s">
        <v>637</v>
      </c>
      <c r="C1248" s="89">
        <v>2110148</v>
      </c>
      <c r="D1248" s="89" t="s">
        <v>666</v>
      </c>
    </row>
    <row r="1249" spans="1:4" x14ac:dyDescent="0.25">
      <c r="A1249" s="89" t="s">
        <v>689</v>
      </c>
      <c r="B1249" s="89" t="s">
        <v>637</v>
      </c>
      <c r="C1249" s="89">
        <v>3743078</v>
      </c>
      <c r="D1249" s="89" t="s">
        <v>664</v>
      </c>
    </row>
    <row r="1250" spans="1:4" x14ac:dyDescent="0.25">
      <c r="A1250" s="89" t="s">
        <v>689</v>
      </c>
      <c r="B1250" s="89" t="s">
        <v>637</v>
      </c>
      <c r="C1250" s="89">
        <v>3781521.02</v>
      </c>
      <c r="D1250" s="89" t="s">
        <v>664</v>
      </c>
    </row>
    <row r="1251" spans="1:4" x14ac:dyDescent="0.25">
      <c r="A1251" s="89" t="s">
        <v>689</v>
      </c>
      <c r="B1251" s="89" t="s">
        <v>637</v>
      </c>
      <c r="C1251" s="89">
        <v>4824027</v>
      </c>
      <c r="D1251" s="89" t="s">
        <v>663</v>
      </c>
    </row>
    <row r="1252" spans="1:4" x14ac:dyDescent="0.25">
      <c r="A1252" s="89" t="s">
        <v>689</v>
      </c>
      <c r="B1252" s="89" t="s">
        <v>637</v>
      </c>
      <c r="C1252" s="89">
        <v>14330087.26</v>
      </c>
      <c r="D1252" s="89" t="s">
        <v>663</v>
      </c>
    </row>
    <row r="1253" spans="1:4" x14ac:dyDescent="0.25">
      <c r="A1253" s="89" t="s">
        <v>689</v>
      </c>
      <c r="B1253" s="89" t="s">
        <v>637</v>
      </c>
      <c r="C1253" s="89">
        <v>12509488</v>
      </c>
      <c r="D1253" s="89" t="s">
        <v>664</v>
      </c>
    </row>
    <row r="1254" spans="1:4" x14ac:dyDescent="0.25">
      <c r="A1254" s="89" t="s">
        <v>689</v>
      </c>
      <c r="B1254" s="89" t="s">
        <v>637</v>
      </c>
      <c r="C1254" s="89">
        <v>1971928.77</v>
      </c>
      <c r="D1254" s="89" t="s">
        <v>664</v>
      </c>
    </row>
    <row r="1255" spans="1:4" x14ac:dyDescent="0.25">
      <c r="A1255" s="89" t="s">
        <v>689</v>
      </c>
      <c r="B1255" s="89" t="s">
        <v>637</v>
      </c>
      <c r="C1255" s="89">
        <v>11719043.5</v>
      </c>
      <c r="D1255" s="89" t="s">
        <v>663</v>
      </c>
    </row>
    <row r="1256" spans="1:4" x14ac:dyDescent="0.25">
      <c r="A1256" s="89" t="s">
        <v>689</v>
      </c>
      <c r="B1256" s="89" t="s">
        <v>637</v>
      </c>
      <c r="C1256" s="89">
        <v>2306724</v>
      </c>
      <c r="D1256" s="89" t="s">
        <v>663</v>
      </c>
    </row>
    <row r="1257" spans="1:4" x14ac:dyDescent="0.25">
      <c r="A1257" s="89" t="s">
        <v>689</v>
      </c>
      <c r="B1257" s="89" t="s">
        <v>637</v>
      </c>
      <c r="C1257" s="89">
        <v>2519389.5299999998</v>
      </c>
      <c r="D1257" s="89" t="s">
        <v>663</v>
      </c>
    </row>
    <row r="1258" spans="1:4" x14ac:dyDescent="0.25">
      <c r="A1258" s="89" t="s">
        <v>689</v>
      </c>
      <c r="B1258" s="89" t="s">
        <v>637</v>
      </c>
      <c r="C1258" s="89">
        <v>6098338.4299999997</v>
      </c>
      <c r="D1258" s="89" t="s">
        <v>663</v>
      </c>
    </row>
    <row r="1259" spans="1:4" x14ac:dyDescent="0.25">
      <c r="A1259" s="89" t="s">
        <v>689</v>
      </c>
      <c r="B1259" s="89" t="s">
        <v>637</v>
      </c>
      <c r="C1259" s="89">
        <v>1041103.36</v>
      </c>
      <c r="D1259" s="89" t="s">
        <v>664</v>
      </c>
    </row>
    <row r="1260" spans="1:4" x14ac:dyDescent="0.25">
      <c r="A1260" s="89" t="s">
        <v>689</v>
      </c>
      <c r="B1260" s="89" t="s">
        <v>637</v>
      </c>
      <c r="C1260" s="89">
        <v>551068.47</v>
      </c>
      <c r="D1260" s="89" t="s">
        <v>666</v>
      </c>
    </row>
    <row r="1261" spans="1:4" x14ac:dyDescent="0.25">
      <c r="A1261" s="89" t="s">
        <v>689</v>
      </c>
      <c r="B1261" s="89" t="s">
        <v>637</v>
      </c>
      <c r="C1261" s="89">
        <v>809533</v>
      </c>
      <c r="D1261" s="89" t="s">
        <v>666</v>
      </c>
    </row>
    <row r="1262" spans="1:4" x14ac:dyDescent="0.25">
      <c r="A1262" s="89" t="s">
        <v>689</v>
      </c>
      <c r="B1262" s="89" t="s">
        <v>637</v>
      </c>
      <c r="C1262" s="89">
        <v>10117820</v>
      </c>
      <c r="D1262" s="89" t="s">
        <v>663</v>
      </c>
    </row>
    <row r="1263" spans="1:4" x14ac:dyDescent="0.25">
      <c r="A1263" s="89" t="s">
        <v>689</v>
      </c>
      <c r="B1263" s="89" t="s">
        <v>637</v>
      </c>
      <c r="C1263" s="89">
        <v>1372587</v>
      </c>
      <c r="D1263" s="89" t="s">
        <v>664</v>
      </c>
    </row>
    <row r="1264" spans="1:4" x14ac:dyDescent="0.25">
      <c r="A1264" s="89" t="s">
        <v>689</v>
      </c>
      <c r="B1264" s="89" t="s">
        <v>637</v>
      </c>
      <c r="C1264" s="89">
        <v>5288324</v>
      </c>
      <c r="D1264" s="89" t="s">
        <v>663</v>
      </c>
    </row>
    <row r="1265" spans="1:4" x14ac:dyDescent="0.25">
      <c r="A1265" s="89" t="s">
        <v>689</v>
      </c>
      <c r="B1265" s="89" t="s">
        <v>637</v>
      </c>
      <c r="C1265" s="89">
        <v>4800903</v>
      </c>
      <c r="D1265" s="89" t="s">
        <v>666</v>
      </c>
    </row>
    <row r="1266" spans="1:4" x14ac:dyDescent="0.25">
      <c r="A1266" s="89" t="s">
        <v>689</v>
      </c>
      <c r="B1266" s="89" t="s">
        <v>637</v>
      </c>
      <c r="C1266" s="89">
        <v>12324703</v>
      </c>
      <c r="D1266" s="89" t="s">
        <v>664</v>
      </c>
    </row>
    <row r="1267" spans="1:4" x14ac:dyDescent="0.25">
      <c r="A1267" s="89" t="s">
        <v>689</v>
      </c>
      <c r="B1267" s="89" t="s">
        <v>637</v>
      </c>
      <c r="C1267" s="89">
        <v>6279336</v>
      </c>
      <c r="D1267" s="89" t="s">
        <v>663</v>
      </c>
    </row>
    <row r="1268" spans="1:4" x14ac:dyDescent="0.25">
      <c r="A1268" s="89" t="s">
        <v>689</v>
      </c>
      <c r="B1268" s="89" t="s">
        <v>637</v>
      </c>
      <c r="C1268" s="89">
        <v>2732190</v>
      </c>
      <c r="D1268" s="89" t="s">
        <v>664</v>
      </c>
    </row>
    <row r="1269" spans="1:4" x14ac:dyDescent="0.25">
      <c r="A1269" s="89" t="s">
        <v>689</v>
      </c>
      <c r="B1269" s="89" t="s">
        <v>637</v>
      </c>
      <c r="C1269" s="89">
        <v>2174704</v>
      </c>
      <c r="D1269" s="89" t="s">
        <v>663</v>
      </c>
    </row>
    <row r="1270" spans="1:4" x14ac:dyDescent="0.25">
      <c r="A1270" s="89" t="s">
        <v>689</v>
      </c>
      <c r="B1270" s="89" t="s">
        <v>637</v>
      </c>
      <c r="C1270" s="89">
        <v>992463</v>
      </c>
      <c r="D1270" s="89" t="s">
        <v>663</v>
      </c>
    </row>
    <row r="1271" spans="1:4" x14ac:dyDescent="0.25">
      <c r="A1271" s="89" t="s">
        <v>689</v>
      </c>
      <c r="B1271" s="89" t="s">
        <v>637</v>
      </c>
      <c r="C1271" s="89">
        <v>8881530</v>
      </c>
      <c r="D1271" s="89" t="s">
        <v>663</v>
      </c>
    </row>
    <row r="1272" spans="1:4" x14ac:dyDescent="0.25">
      <c r="A1272" s="89" t="s">
        <v>689</v>
      </c>
      <c r="B1272" s="89" t="s">
        <v>637</v>
      </c>
      <c r="C1272" s="89">
        <v>4751319.08</v>
      </c>
      <c r="D1272" s="89" t="s">
        <v>666</v>
      </c>
    </row>
    <row r="1273" spans="1:4" x14ac:dyDescent="0.25">
      <c r="A1273" s="89" t="s">
        <v>689</v>
      </c>
      <c r="B1273" s="89" t="s">
        <v>637</v>
      </c>
      <c r="C1273" s="89">
        <v>4071980.42</v>
      </c>
      <c r="D1273" s="89" t="s">
        <v>664</v>
      </c>
    </row>
    <row r="1274" spans="1:4" x14ac:dyDescent="0.25">
      <c r="A1274" s="89" t="s">
        <v>689</v>
      </c>
      <c r="B1274" s="89" t="s">
        <v>637</v>
      </c>
      <c r="C1274" s="89">
        <v>15110299</v>
      </c>
      <c r="D1274" s="89" t="s">
        <v>663</v>
      </c>
    </row>
    <row r="1275" spans="1:4" x14ac:dyDescent="0.25">
      <c r="A1275" s="89" t="s">
        <v>689</v>
      </c>
      <c r="B1275" s="89" t="s">
        <v>637</v>
      </c>
      <c r="C1275" s="89">
        <v>14264419</v>
      </c>
      <c r="D1275" s="89" t="s">
        <v>664</v>
      </c>
    </row>
    <row r="1276" spans="1:4" x14ac:dyDescent="0.25">
      <c r="A1276" s="89" t="s">
        <v>689</v>
      </c>
      <c r="B1276" s="89" t="s">
        <v>637</v>
      </c>
      <c r="C1276" s="89">
        <v>812998</v>
      </c>
      <c r="D1276" s="89" t="s">
        <v>666</v>
      </c>
    </row>
    <row r="1277" spans="1:4" x14ac:dyDescent="0.25">
      <c r="A1277" s="89" t="s">
        <v>689</v>
      </c>
      <c r="B1277" s="89" t="s">
        <v>637</v>
      </c>
      <c r="C1277" s="89">
        <v>4725723</v>
      </c>
      <c r="D1277" s="89" t="s">
        <v>666</v>
      </c>
    </row>
    <row r="1278" spans="1:4" x14ac:dyDescent="0.25">
      <c r="A1278" s="89" t="s">
        <v>689</v>
      </c>
      <c r="B1278" s="89" t="s">
        <v>637</v>
      </c>
      <c r="C1278" s="89">
        <v>4339856</v>
      </c>
      <c r="D1278" s="89" t="s">
        <v>663</v>
      </c>
    </row>
    <row r="1279" spans="1:4" x14ac:dyDescent="0.25">
      <c r="A1279" s="89" t="s">
        <v>689</v>
      </c>
      <c r="B1279" s="89" t="s">
        <v>637</v>
      </c>
      <c r="C1279" s="89">
        <v>1283007</v>
      </c>
      <c r="D1279" s="89" t="s">
        <v>666</v>
      </c>
    </row>
    <row r="1280" spans="1:4" x14ac:dyDescent="0.25">
      <c r="A1280" s="89" t="s">
        <v>689</v>
      </c>
      <c r="B1280" s="89" t="s">
        <v>637</v>
      </c>
      <c r="C1280" s="89">
        <v>1578727</v>
      </c>
      <c r="D1280" s="89" t="s">
        <v>666</v>
      </c>
    </row>
    <row r="1281" spans="1:4" x14ac:dyDescent="0.25">
      <c r="A1281" s="89" t="s">
        <v>689</v>
      </c>
      <c r="B1281" s="89" t="s">
        <v>637</v>
      </c>
      <c r="C1281" s="89">
        <v>5549139</v>
      </c>
      <c r="D1281" s="89" t="s">
        <v>666</v>
      </c>
    </row>
    <row r="1282" spans="1:4" x14ac:dyDescent="0.25">
      <c r="A1282" s="89" t="s">
        <v>689</v>
      </c>
      <c r="B1282" s="89" t="s">
        <v>637</v>
      </c>
      <c r="C1282" s="89">
        <v>15774662</v>
      </c>
      <c r="D1282" s="89" t="s">
        <v>664</v>
      </c>
    </row>
    <row r="1283" spans="1:4" x14ac:dyDescent="0.25">
      <c r="A1283" s="89" t="s">
        <v>689</v>
      </c>
      <c r="B1283" s="89" t="s">
        <v>637</v>
      </c>
      <c r="C1283" s="89">
        <v>21075683.109999999</v>
      </c>
      <c r="D1283" s="89" t="s">
        <v>663</v>
      </c>
    </row>
    <row r="1284" spans="1:4" x14ac:dyDescent="0.25">
      <c r="A1284" s="89" t="s">
        <v>689</v>
      </c>
      <c r="B1284" s="89" t="s">
        <v>637</v>
      </c>
      <c r="C1284" s="89">
        <v>2571864.1800000002</v>
      </c>
      <c r="D1284" s="89" t="s">
        <v>666</v>
      </c>
    </row>
    <row r="1285" spans="1:4" x14ac:dyDescent="0.25">
      <c r="A1285" s="89" t="s">
        <v>689</v>
      </c>
      <c r="B1285" s="89" t="s">
        <v>637</v>
      </c>
      <c r="C1285" s="89">
        <v>8499135</v>
      </c>
      <c r="D1285" s="89" t="s">
        <v>663</v>
      </c>
    </row>
    <row r="1286" spans="1:4" x14ac:dyDescent="0.25">
      <c r="A1286" s="89" t="s">
        <v>689</v>
      </c>
      <c r="B1286" s="89" t="s">
        <v>637</v>
      </c>
      <c r="C1286" s="89">
        <v>5208605.7</v>
      </c>
      <c r="D1286" s="89" t="s">
        <v>663</v>
      </c>
    </row>
    <row r="1287" spans="1:4" x14ac:dyDescent="0.25">
      <c r="A1287" s="89" t="s">
        <v>689</v>
      </c>
      <c r="B1287" s="89" t="s">
        <v>637</v>
      </c>
      <c r="C1287" s="89">
        <v>8529512</v>
      </c>
      <c r="D1287" s="89" t="s">
        <v>663</v>
      </c>
    </row>
    <row r="1288" spans="1:4" x14ac:dyDescent="0.25">
      <c r="A1288" s="89" t="s">
        <v>689</v>
      </c>
      <c r="B1288" s="89" t="s">
        <v>637</v>
      </c>
      <c r="C1288" s="89">
        <v>66872873.420000002</v>
      </c>
      <c r="D1288" s="89" t="s">
        <v>664</v>
      </c>
    </row>
    <row r="1289" spans="1:4" x14ac:dyDescent="0.25">
      <c r="A1289" s="89" t="s">
        <v>689</v>
      </c>
      <c r="B1289" s="89" t="s">
        <v>637</v>
      </c>
      <c r="C1289" s="89">
        <v>7765944.8099999996</v>
      </c>
      <c r="D1289" s="89" t="s">
        <v>663</v>
      </c>
    </row>
    <row r="1290" spans="1:4" x14ac:dyDescent="0.25">
      <c r="A1290" s="89" t="s">
        <v>689</v>
      </c>
      <c r="B1290" s="89" t="s">
        <v>637</v>
      </c>
      <c r="C1290" s="89">
        <v>903041</v>
      </c>
      <c r="D1290" s="89" t="s">
        <v>666</v>
      </c>
    </row>
    <row r="1291" spans="1:4" x14ac:dyDescent="0.25">
      <c r="A1291" s="89" t="s">
        <v>689</v>
      </c>
      <c r="B1291" s="89" t="s">
        <v>637</v>
      </c>
      <c r="C1291" s="89">
        <v>1096689.19</v>
      </c>
      <c r="D1291" s="89" t="s">
        <v>663</v>
      </c>
    </row>
    <row r="1292" spans="1:4" x14ac:dyDescent="0.25">
      <c r="A1292" s="89" t="s">
        <v>689</v>
      </c>
      <c r="B1292" s="89" t="s">
        <v>637</v>
      </c>
      <c r="C1292" s="89">
        <v>1402817.98</v>
      </c>
      <c r="D1292" s="89" t="s">
        <v>664</v>
      </c>
    </row>
    <row r="1293" spans="1:4" x14ac:dyDescent="0.25">
      <c r="A1293" s="89" t="s">
        <v>689</v>
      </c>
      <c r="B1293" s="89" t="s">
        <v>637</v>
      </c>
      <c r="C1293" s="89">
        <v>2744687</v>
      </c>
      <c r="D1293" s="89" t="s">
        <v>663</v>
      </c>
    </row>
    <row r="1294" spans="1:4" x14ac:dyDescent="0.25">
      <c r="A1294" s="89" t="s">
        <v>689</v>
      </c>
      <c r="B1294" s="89" t="s">
        <v>637</v>
      </c>
      <c r="C1294" s="89">
        <v>2749885</v>
      </c>
      <c r="D1294" s="89" t="s">
        <v>666</v>
      </c>
    </row>
    <row r="1295" spans="1:4" x14ac:dyDescent="0.25">
      <c r="A1295" s="89" t="s">
        <v>689</v>
      </c>
      <c r="B1295" s="89" t="s">
        <v>637</v>
      </c>
      <c r="C1295" s="89">
        <v>2109774</v>
      </c>
      <c r="D1295" s="89" t="s">
        <v>663</v>
      </c>
    </row>
    <row r="1296" spans="1:4" x14ac:dyDescent="0.25">
      <c r="A1296" s="89" t="s">
        <v>689</v>
      </c>
      <c r="B1296" s="89" t="s">
        <v>637</v>
      </c>
      <c r="C1296" s="89">
        <v>5507445</v>
      </c>
      <c r="D1296" s="89" t="s">
        <v>666</v>
      </c>
    </row>
    <row r="1297" spans="1:4" x14ac:dyDescent="0.25">
      <c r="A1297" s="89" t="s">
        <v>689</v>
      </c>
      <c r="B1297" s="89" t="s">
        <v>637</v>
      </c>
      <c r="C1297" s="89">
        <v>2183094</v>
      </c>
      <c r="D1297" s="89" t="s">
        <v>663</v>
      </c>
    </row>
    <row r="1298" spans="1:4" x14ac:dyDescent="0.25">
      <c r="A1298" s="89" t="s">
        <v>689</v>
      </c>
      <c r="B1298" s="89" t="s">
        <v>637</v>
      </c>
      <c r="C1298" s="89">
        <v>1869461</v>
      </c>
      <c r="D1298" s="89" t="s">
        <v>663</v>
      </c>
    </row>
    <row r="1299" spans="1:4" x14ac:dyDescent="0.25">
      <c r="A1299" s="89" t="s">
        <v>689</v>
      </c>
      <c r="B1299" s="89" t="s">
        <v>637</v>
      </c>
      <c r="C1299" s="89">
        <v>14785199</v>
      </c>
      <c r="D1299" s="89" t="s">
        <v>664</v>
      </c>
    </row>
    <row r="1300" spans="1:4" x14ac:dyDescent="0.25">
      <c r="A1300" s="89" t="s">
        <v>689</v>
      </c>
      <c r="B1300" s="89" t="s">
        <v>637</v>
      </c>
      <c r="C1300" s="89">
        <v>654104</v>
      </c>
      <c r="D1300" s="89" t="s">
        <v>663</v>
      </c>
    </row>
    <row r="1301" spans="1:4" x14ac:dyDescent="0.25">
      <c r="A1301" s="89" t="s">
        <v>689</v>
      </c>
      <c r="B1301" s="89" t="s">
        <v>637</v>
      </c>
      <c r="C1301" s="89">
        <v>690922</v>
      </c>
      <c r="D1301" s="89" t="s">
        <v>663</v>
      </c>
    </row>
    <row r="1302" spans="1:4" x14ac:dyDescent="0.25">
      <c r="A1302" s="89" t="s">
        <v>205</v>
      </c>
      <c r="B1302" s="89" t="s">
        <v>615</v>
      </c>
      <c r="C1302" s="89">
        <v>100000</v>
      </c>
      <c r="D1302" s="89" t="s">
        <v>663</v>
      </c>
    </row>
    <row r="1303" spans="1:4" x14ac:dyDescent="0.25">
      <c r="A1303" s="89" t="s">
        <v>205</v>
      </c>
      <c r="B1303" s="89" t="s">
        <v>615</v>
      </c>
      <c r="C1303" s="89">
        <v>220038</v>
      </c>
      <c r="D1303" s="89" t="s">
        <v>663</v>
      </c>
    </row>
    <row r="1304" spans="1:4" x14ac:dyDescent="0.25">
      <c r="A1304" s="89" t="s">
        <v>205</v>
      </c>
      <c r="B1304" s="89" t="s">
        <v>615</v>
      </c>
      <c r="C1304" s="89">
        <v>853763</v>
      </c>
      <c r="D1304" s="89" t="s">
        <v>663</v>
      </c>
    </row>
    <row r="1305" spans="1:4" x14ac:dyDescent="0.25">
      <c r="A1305" s="89" t="s">
        <v>205</v>
      </c>
      <c r="B1305" s="89" t="s">
        <v>615</v>
      </c>
      <c r="C1305" s="89">
        <v>316055</v>
      </c>
      <c r="D1305" s="89" t="s">
        <v>663</v>
      </c>
    </row>
    <row r="1306" spans="1:4" x14ac:dyDescent="0.25">
      <c r="A1306" s="89" t="s">
        <v>205</v>
      </c>
      <c r="B1306" s="89" t="s">
        <v>615</v>
      </c>
      <c r="C1306" s="89">
        <v>346425.44</v>
      </c>
      <c r="D1306" s="89" t="s">
        <v>663</v>
      </c>
    </row>
    <row r="1307" spans="1:4" x14ac:dyDescent="0.25">
      <c r="A1307" s="89" t="s">
        <v>205</v>
      </c>
      <c r="B1307" s="89" t="s">
        <v>615</v>
      </c>
      <c r="C1307" s="89">
        <v>91006</v>
      </c>
      <c r="D1307" s="89" t="s">
        <v>663</v>
      </c>
    </row>
    <row r="1308" spans="1:4" x14ac:dyDescent="0.25">
      <c r="A1308" s="89" t="s">
        <v>205</v>
      </c>
      <c r="B1308" s="89" t="s">
        <v>615</v>
      </c>
      <c r="C1308" s="89">
        <v>-90949.59</v>
      </c>
      <c r="D1308" s="89" t="s">
        <v>663</v>
      </c>
    </row>
    <row r="1309" spans="1:4" x14ac:dyDescent="0.25">
      <c r="A1309" s="89" t="s">
        <v>205</v>
      </c>
      <c r="B1309" s="89" t="s">
        <v>615</v>
      </c>
      <c r="C1309" s="89">
        <v>434777</v>
      </c>
      <c r="D1309" s="89" t="s">
        <v>663</v>
      </c>
    </row>
    <row r="1310" spans="1:4" x14ac:dyDescent="0.25">
      <c r="A1310" s="89" t="s">
        <v>205</v>
      </c>
      <c r="B1310" s="89" t="s">
        <v>615</v>
      </c>
      <c r="C1310" s="89">
        <v>-107368.43</v>
      </c>
      <c r="D1310" s="89" t="s">
        <v>663</v>
      </c>
    </row>
    <row r="1311" spans="1:4" x14ac:dyDescent="0.25">
      <c r="A1311" s="89" t="s">
        <v>205</v>
      </c>
      <c r="B1311" s="89" t="s">
        <v>615</v>
      </c>
      <c r="C1311" s="89">
        <v>304748</v>
      </c>
      <c r="D1311" s="89" t="s">
        <v>663</v>
      </c>
    </row>
    <row r="1312" spans="1:4" x14ac:dyDescent="0.25">
      <c r="A1312" s="89" t="s">
        <v>205</v>
      </c>
      <c r="B1312" s="89" t="s">
        <v>615</v>
      </c>
      <c r="C1312" s="89">
        <v>-16922</v>
      </c>
      <c r="D1312" s="89" t="s">
        <v>663</v>
      </c>
    </row>
    <row r="1313" spans="1:4" x14ac:dyDescent="0.25">
      <c r="A1313" s="89" t="s">
        <v>205</v>
      </c>
      <c r="B1313" s="89" t="s">
        <v>615</v>
      </c>
      <c r="C1313" s="89">
        <v>132647.70000000001</v>
      </c>
      <c r="D1313" s="89" t="s">
        <v>663</v>
      </c>
    </row>
    <row r="1314" spans="1:4" x14ac:dyDescent="0.25">
      <c r="A1314" s="89" t="s">
        <v>205</v>
      </c>
      <c r="B1314" s="89" t="s">
        <v>615</v>
      </c>
      <c r="C1314" s="89">
        <v>312803</v>
      </c>
      <c r="D1314" s="89" t="s">
        <v>663</v>
      </c>
    </row>
    <row r="1315" spans="1:4" x14ac:dyDescent="0.25">
      <c r="A1315" s="89" t="s">
        <v>205</v>
      </c>
      <c r="B1315" s="89" t="s">
        <v>615</v>
      </c>
      <c r="C1315" s="89">
        <v>135391</v>
      </c>
      <c r="D1315" s="89" t="s">
        <v>663</v>
      </c>
    </row>
    <row r="1316" spans="1:4" x14ac:dyDescent="0.25">
      <c r="A1316" s="89" t="s">
        <v>205</v>
      </c>
      <c r="B1316" s="89" t="s">
        <v>615</v>
      </c>
      <c r="C1316" s="89">
        <v>275998.56</v>
      </c>
      <c r="D1316" s="89" t="s">
        <v>663</v>
      </c>
    </row>
    <row r="1317" spans="1:4" x14ac:dyDescent="0.25">
      <c r="A1317" s="89" t="s">
        <v>205</v>
      </c>
      <c r="B1317" s="89" t="s">
        <v>615</v>
      </c>
      <c r="C1317" s="89">
        <v>151128.25</v>
      </c>
      <c r="D1317" s="89" t="s">
        <v>663</v>
      </c>
    </row>
    <row r="1318" spans="1:4" x14ac:dyDescent="0.25">
      <c r="A1318" s="89" t="s">
        <v>205</v>
      </c>
      <c r="B1318" s="89" t="s">
        <v>615</v>
      </c>
      <c r="C1318" s="89">
        <v>107408.07</v>
      </c>
      <c r="D1318" s="89" t="s">
        <v>663</v>
      </c>
    </row>
    <row r="1319" spans="1:4" x14ac:dyDescent="0.25">
      <c r="A1319" s="89" t="s">
        <v>53</v>
      </c>
      <c r="B1319" s="89" t="s">
        <v>616</v>
      </c>
      <c r="C1319" s="89">
        <v>76806.39</v>
      </c>
      <c r="D1319" s="89" t="s">
        <v>663</v>
      </c>
    </row>
    <row r="1320" spans="1:4" x14ac:dyDescent="0.25">
      <c r="A1320" s="89" t="s">
        <v>53</v>
      </c>
      <c r="B1320" s="89" t="s">
        <v>616</v>
      </c>
      <c r="C1320" s="89">
        <v>6567278</v>
      </c>
      <c r="D1320" s="89" t="s">
        <v>663</v>
      </c>
    </row>
    <row r="1321" spans="1:4" x14ac:dyDescent="0.25">
      <c r="A1321" s="89" t="s">
        <v>53</v>
      </c>
      <c r="B1321" s="89" t="s">
        <v>616</v>
      </c>
      <c r="C1321" s="89">
        <v>207110</v>
      </c>
      <c r="D1321" s="89" t="s">
        <v>663</v>
      </c>
    </row>
    <row r="1322" spans="1:4" x14ac:dyDescent="0.25">
      <c r="A1322" s="89" t="s">
        <v>53</v>
      </c>
      <c r="B1322" s="89" t="s">
        <v>616</v>
      </c>
      <c r="C1322" s="89">
        <v>584660</v>
      </c>
      <c r="D1322" s="89" t="s">
        <v>666</v>
      </c>
    </row>
    <row r="1323" spans="1:4" x14ac:dyDescent="0.25">
      <c r="A1323" s="89" t="s">
        <v>53</v>
      </c>
      <c r="B1323" s="89" t="s">
        <v>616</v>
      </c>
      <c r="C1323" s="89">
        <v>1922482</v>
      </c>
      <c r="D1323" s="89" t="s">
        <v>663</v>
      </c>
    </row>
    <row r="1324" spans="1:4" x14ac:dyDescent="0.25">
      <c r="A1324" s="89" t="s">
        <v>53</v>
      </c>
      <c r="B1324" s="89" t="s">
        <v>616</v>
      </c>
      <c r="C1324" s="89">
        <v>516713</v>
      </c>
      <c r="D1324" s="89" t="s">
        <v>663</v>
      </c>
    </row>
    <row r="1325" spans="1:4" x14ac:dyDescent="0.25">
      <c r="A1325" s="89" t="s">
        <v>53</v>
      </c>
      <c r="B1325" s="89" t="s">
        <v>616</v>
      </c>
      <c r="C1325" s="89">
        <v>3342605</v>
      </c>
      <c r="D1325" s="89" t="s">
        <v>663</v>
      </c>
    </row>
    <row r="1326" spans="1:4" x14ac:dyDescent="0.25">
      <c r="A1326" s="89" t="s">
        <v>53</v>
      </c>
      <c r="B1326" s="89" t="s">
        <v>616</v>
      </c>
      <c r="C1326" s="89">
        <v>598545.53</v>
      </c>
      <c r="D1326" s="89" t="s">
        <v>666</v>
      </c>
    </row>
    <row r="1327" spans="1:4" x14ac:dyDescent="0.25">
      <c r="A1327" s="89" t="s">
        <v>53</v>
      </c>
      <c r="B1327" s="89" t="s">
        <v>616</v>
      </c>
      <c r="C1327" s="89">
        <v>49044.54</v>
      </c>
      <c r="D1327" s="89" t="s">
        <v>663</v>
      </c>
    </row>
    <row r="1328" spans="1:4" x14ac:dyDescent="0.25">
      <c r="A1328" s="89" t="s">
        <v>53</v>
      </c>
      <c r="B1328" s="89" t="s">
        <v>616</v>
      </c>
      <c r="C1328" s="89">
        <v>5171042</v>
      </c>
      <c r="D1328" s="89" t="s">
        <v>663</v>
      </c>
    </row>
    <row r="1329" spans="1:4" x14ac:dyDescent="0.25">
      <c r="A1329" s="89" t="s">
        <v>53</v>
      </c>
      <c r="B1329" s="89" t="s">
        <v>616</v>
      </c>
      <c r="C1329" s="89">
        <v>102803</v>
      </c>
      <c r="D1329" s="89" t="s">
        <v>663</v>
      </c>
    </row>
    <row r="1330" spans="1:4" x14ac:dyDescent="0.25">
      <c r="A1330" s="89" t="s">
        <v>53</v>
      </c>
      <c r="B1330" s="89" t="s">
        <v>616</v>
      </c>
      <c r="C1330" s="89">
        <v>680787</v>
      </c>
      <c r="D1330" s="89" t="s">
        <v>666</v>
      </c>
    </row>
    <row r="1331" spans="1:4" x14ac:dyDescent="0.25">
      <c r="A1331" s="89" t="s">
        <v>53</v>
      </c>
      <c r="B1331" s="89" t="s">
        <v>616</v>
      </c>
      <c r="C1331" s="89">
        <v>506970</v>
      </c>
      <c r="D1331" s="89" t="s">
        <v>666</v>
      </c>
    </row>
    <row r="1332" spans="1:4" x14ac:dyDescent="0.25">
      <c r="A1332" s="89" t="s">
        <v>53</v>
      </c>
      <c r="B1332" s="89" t="s">
        <v>616</v>
      </c>
      <c r="C1332" s="89">
        <v>866083.53</v>
      </c>
      <c r="D1332" s="89" t="s">
        <v>663</v>
      </c>
    </row>
    <row r="1333" spans="1:4" x14ac:dyDescent="0.25">
      <c r="A1333" s="89" t="s">
        <v>53</v>
      </c>
      <c r="B1333" s="89" t="s">
        <v>616</v>
      </c>
      <c r="C1333" s="89">
        <v>1272734.8500000001</v>
      </c>
      <c r="D1333" s="89" t="s">
        <v>663</v>
      </c>
    </row>
    <row r="1334" spans="1:4" x14ac:dyDescent="0.25">
      <c r="A1334" s="89" t="s">
        <v>53</v>
      </c>
      <c r="B1334" s="89" t="s">
        <v>616</v>
      </c>
      <c r="C1334" s="89">
        <v>7656497</v>
      </c>
      <c r="D1334" s="89" t="s">
        <v>663</v>
      </c>
    </row>
    <row r="1335" spans="1:4" x14ac:dyDescent="0.25">
      <c r="A1335" s="89" t="s">
        <v>53</v>
      </c>
      <c r="B1335" s="89" t="s">
        <v>616</v>
      </c>
      <c r="C1335" s="89">
        <v>300001.24</v>
      </c>
      <c r="D1335" s="89" t="s">
        <v>666</v>
      </c>
    </row>
    <row r="1336" spans="1:4" x14ac:dyDescent="0.25">
      <c r="A1336" s="89" t="s">
        <v>53</v>
      </c>
      <c r="B1336" s="89" t="s">
        <v>616</v>
      </c>
      <c r="C1336" s="89">
        <v>1068198.24</v>
      </c>
      <c r="D1336" s="89" t="s">
        <v>663</v>
      </c>
    </row>
    <row r="1337" spans="1:4" x14ac:dyDescent="0.25">
      <c r="A1337" s="89" t="s">
        <v>53</v>
      </c>
      <c r="B1337" s="89" t="s">
        <v>616</v>
      </c>
      <c r="C1337" s="89">
        <v>1689336.27</v>
      </c>
      <c r="D1337" s="89" t="s">
        <v>664</v>
      </c>
    </row>
    <row r="1338" spans="1:4" x14ac:dyDescent="0.25">
      <c r="A1338" s="89" t="s">
        <v>53</v>
      </c>
      <c r="B1338" s="89" t="s">
        <v>616</v>
      </c>
      <c r="C1338" s="89">
        <v>675719.87</v>
      </c>
      <c r="D1338" s="89" t="s">
        <v>666</v>
      </c>
    </row>
    <row r="1339" spans="1:4" x14ac:dyDescent="0.25">
      <c r="A1339" s="89" t="s">
        <v>53</v>
      </c>
      <c r="B1339" s="89" t="s">
        <v>616</v>
      </c>
      <c r="C1339" s="89">
        <v>3869762</v>
      </c>
      <c r="D1339" s="89" t="s">
        <v>663</v>
      </c>
    </row>
    <row r="1340" spans="1:4" x14ac:dyDescent="0.25">
      <c r="A1340" s="89" t="s">
        <v>53</v>
      </c>
      <c r="B1340" s="89" t="s">
        <v>616</v>
      </c>
      <c r="C1340" s="89">
        <v>94679.28</v>
      </c>
      <c r="D1340" s="89" t="s">
        <v>666</v>
      </c>
    </row>
    <row r="1341" spans="1:4" x14ac:dyDescent="0.25">
      <c r="A1341" s="89" t="s">
        <v>53</v>
      </c>
      <c r="B1341" s="89" t="s">
        <v>616</v>
      </c>
      <c r="C1341" s="89">
        <v>118804.86</v>
      </c>
      <c r="D1341" s="89" t="s">
        <v>666</v>
      </c>
    </row>
    <row r="1342" spans="1:4" x14ac:dyDescent="0.25">
      <c r="A1342" s="89" t="s">
        <v>53</v>
      </c>
      <c r="B1342" s="89" t="s">
        <v>616</v>
      </c>
      <c r="C1342" s="89">
        <v>4268832.13</v>
      </c>
      <c r="D1342" s="89" t="s">
        <v>664</v>
      </c>
    </row>
    <row r="1343" spans="1:4" x14ac:dyDescent="0.25">
      <c r="A1343" s="89" t="s">
        <v>53</v>
      </c>
      <c r="B1343" s="89" t="s">
        <v>616</v>
      </c>
      <c r="C1343" s="89">
        <v>374231.11</v>
      </c>
      <c r="D1343" s="89" t="s">
        <v>666</v>
      </c>
    </row>
    <row r="1344" spans="1:4" x14ac:dyDescent="0.25">
      <c r="A1344" s="89" t="s">
        <v>53</v>
      </c>
      <c r="B1344" s="89" t="s">
        <v>616</v>
      </c>
      <c r="C1344" s="89">
        <v>3432354.14</v>
      </c>
      <c r="D1344" s="89" t="s">
        <v>664</v>
      </c>
    </row>
    <row r="1345" spans="1:4" x14ac:dyDescent="0.25">
      <c r="A1345" s="89" t="s">
        <v>53</v>
      </c>
      <c r="B1345" s="89" t="s">
        <v>616</v>
      </c>
      <c r="C1345" s="89">
        <v>2731798</v>
      </c>
      <c r="D1345" s="89" t="s">
        <v>663</v>
      </c>
    </row>
    <row r="1346" spans="1:4" x14ac:dyDescent="0.25">
      <c r="A1346" s="89" t="s">
        <v>53</v>
      </c>
      <c r="B1346" s="89" t="s">
        <v>616</v>
      </c>
      <c r="C1346" s="89">
        <v>210246</v>
      </c>
      <c r="D1346" s="89" t="s">
        <v>666</v>
      </c>
    </row>
    <row r="1347" spans="1:4" x14ac:dyDescent="0.25">
      <c r="A1347" s="89" t="s">
        <v>53</v>
      </c>
      <c r="B1347" s="89" t="s">
        <v>616</v>
      </c>
      <c r="C1347" s="89">
        <v>412672.91</v>
      </c>
      <c r="D1347" s="89" t="s">
        <v>663</v>
      </c>
    </row>
    <row r="1348" spans="1:4" x14ac:dyDescent="0.25">
      <c r="A1348" s="89" t="s">
        <v>53</v>
      </c>
      <c r="B1348" s="89" t="s">
        <v>616</v>
      </c>
      <c r="C1348" s="89">
        <v>4325689.5199999996</v>
      </c>
      <c r="D1348" s="89" t="s">
        <v>664</v>
      </c>
    </row>
    <row r="1349" spans="1:4" x14ac:dyDescent="0.25">
      <c r="A1349" s="89" t="s">
        <v>53</v>
      </c>
      <c r="B1349" s="89" t="s">
        <v>616</v>
      </c>
      <c r="C1349" s="89">
        <v>43917966.93</v>
      </c>
      <c r="D1349" s="89" t="s">
        <v>664</v>
      </c>
    </row>
    <row r="1350" spans="1:4" x14ac:dyDescent="0.25">
      <c r="A1350" s="89" t="s">
        <v>53</v>
      </c>
      <c r="B1350" s="89" t="s">
        <v>616</v>
      </c>
      <c r="C1350" s="89">
        <v>822786.36</v>
      </c>
      <c r="D1350" s="89" t="s">
        <v>666</v>
      </c>
    </row>
    <row r="1351" spans="1:4" x14ac:dyDescent="0.25">
      <c r="A1351" s="89" t="s">
        <v>53</v>
      </c>
      <c r="B1351" s="89" t="s">
        <v>616</v>
      </c>
      <c r="C1351" s="89">
        <v>-1930984.73</v>
      </c>
      <c r="D1351" s="89" t="s">
        <v>663</v>
      </c>
    </row>
    <row r="1352" spans="1:4" x14ac:dyDescent="0.25">
      <c r="A1352" s="89" t="s">
        <v>53</v>
      </c>
      <c r="B1352" s="89" t="s">
        <v>616</v>
      </c>
      <c r="C1352" s="89">
        <v>267210</v>
      </c>
      <c r="D1352" s="89" t="s">
        <v>666</v>
      </c>
    </row>
    <row r="1353" spans="1:4" x14ac:dyDescent="0.25">
      <c r="A1353" s="89" t="s">
        <v>53</v>
      </c>
      <c r="B1353" s="89" t="s">
        <v>616</v>
      </c>
      <c r="C1353" s="89">
        <v>3511390.4</v>
      </c>
      <c r="D1353" s="89" t="s">
        <v>663</v>
      </c>
    </row>
    <row r="1354" spans="1:4" x14ac:dyDescent="0.25">
      <c r="A1354" s="89" t="s">
        <v>53</v>
      </c>
      <c r="B1354" s="89" t="s">
        <v>616</v>
      </c>
      <c r="C1354" s="89">
        <v>213633</v>
      </c>
      <c r="D1354" s="89" t="s">
        <v>666</v>
      </c>
    </row>
    <row r="1355" spans="1:4" x14ac:dyDescent="0.25">
      <c r="A1355" s="89" t="s">
        <v>53</v>
      </c>
      <c r="B1355" s="89" t="s">
        <v>616</v>
      </c>
      <c r="C1355" s="89">
        <v>1537451.33</v>
      </c>
      <c r="D1355" s="89" t="s">
        <v>663</v>
      </c>
    </row>
    <row r="1356" spans="1:4" x14ac:dyDescent="0.25">
      <c r="A1356" s="89" t="s">
        <v>53</v>
      </c>
      <c r="B1356" s="89" t="s">
        <v>616</v>
      </c>
      <c r="C1356" s="89">
        <v>70990</v>
      </c>
      <c r="D1356" s="89" t="s">
        <v>663</v>
      </c>
    </row>
    <row r="1357" spans="1:4" x14ac:dyDescent="0.25">
      <c r="A1357" s="89" t="s">
        <v>53</v>
      </c>
      <c r="B1357" s="89" t="s">
        <v>616</v>
      </c>
      <c r="C1357" s="89">
        <v>817279.26</v>
      </c>
      <c r="D1357" s="89" t="s">
        <v>663</v>
      </c>
    </row>
    <row r="1358" spans="1:4" x14ac:dyDescent="0.25">
      <c r="A1358" s="89" t="s">
        <v>53</v>
      </c>
      <c r="B1358" s="89" t="s">
        <v>616</v>
      </c>
      <c r="C1358" s="89">
        <v>944065.57</v>
      </c>
      <c r="D1358" s="89" t="s">
        <v>663</v>
      </c>
    </row>
    <row r="1359" spans="1:4" x14ac:dyDescent="0.25">
      <c r="A1359" s="89" t="s">
        <v>53</v>
      </c>
      <c r="B1359" s="89" t="s">
        <v>616</v>
      </c>
      <c r="C1359" s="89">
        <v>122785</v>
      </c>
      <c r="D1359" s="89" t="s">
        <v>663</v>
      </c>
    </row>
    <row r="1360" spans="1:4" x14ac:dyDescent="0.25">
      <c r="A1360" s="89" t="s">
        <v>53</v>
      </c>
      <c r="B1360" s="89" t="s">
        <v>616</v>
      </c>
      <c r="C1360" s="89">
        <v>192996.18</v>
      </c>
      <c r="D1360" s="89" t="s">
        <v>663</v>
      </c>
    </row>
    <row r="1361" spans="1:4" x14ac:dyDescent="0.25">
      <c r="A1361" s="89" t="s">
        <v>53</v>
      </c>
      <c r="B1361" s="89" t="s">
        <v>616</v>
      </c>
      <c r="C1361" s="89">
        <v>1720176.18</v>
      </c>
      <c r="D1361" s="89" t="s">
        <v>663</v>
      </c>
    </row>
    <row r="1362" spans="1:4" x14ac:dyDescent="0.25">
      <c r="A1362" s="89" t="s">
        <v>53</v>
      </c>
      <c r="B1362" s="89" t="s">
        <v>616</v>
      </c>
      <c r="C1362" s="89">
        <v>317789.71000000002</v>
      </c>
      <c r="D1362" s="89" t="s">
        <v>663</v>
      </c>
    </row>
    <row r="1363" spans="1:4" x14ac:dyDescent="0.25">
      <c r="A1363" s="89" t="s">
        <v>53</v>
      </c>
      <c r="B1363" s="89" t="s">
        <v>616</v>
      </c>
      <c r="C1363" s="89">
        <v>1601017.18</v>
      </c>
      <c r="D1363" s="89" t="s">
        <v>666</v>
      </c>
    </row>
    <row r="1364" spans="1:4" x14ac:dyDescent="0.25">
      <c r="A1364" s="89" t="s">
        <v>53</v>
      </c>
      <c r="B1364" s="89" t="s">
        <v>616</v>
      </c>
      <c r="C1364" s="89">
        <v>901402</v>
      </c>
      <c r="D1364" s="89" t="s">
        <v>663</v>
      </c>
    </row>
    <row r="1365" spans="1:4" x14ac:dyDescent="0.25">
      <c r="A1365" s="89" t="s">
        <v>53</v>
      </c>
      <c r="B1365" s="89" t="s">
        <v>616</v>
      </c>
      <c r="C1365" s="89">
        <v>70287</v>
      </c>
      <c r="D1365" s="89" t="s">
        <v>666</v>
      </c>
    </row>
    <row r="1366" spans="1:4" x14ac:dyDescent="0.25">
      <c r="A1366" s="89" t="s">
        <v>53</v>
      </c>
      <c r="B1366" s="89" t="s">
        <v>616</v>
      </c>
      <c r="C1366" s="89">
        <v>847165.24</v>
      </c>
      <c r="D1366" s="89" t="s">
        <v>663</v>
      </c>
    </row>
    <row r="1367" spans="1:4" x14ac:dyDescent="0.25">
      <c r="A1367" s="89" t="s">
        <v>53</v>
      </c>
      <c r="B1367" s="89" t="s">
        <v>616</v>
      </c>
      <c r="C1367" s="89">
        <v>9969785.5500000007</v>
      </c>
      <c r="D1367" s="89" t="s">
        <v>664</v>
      </c>
    </row>
    <row r="1368" spans="1:4" x14ac:dyDescent="0.25">
      <c r="A1368" s="89" t="s">
        <v>53</v>
      </c>
      <c r="B1368" s="89" t="s">
        <v>616</v>
      </c>
      <c r="C1368" s="89">
        <v>1118566</v>
      </c>
      <c r="D1368" s="89" t="s">
        <v>664</v>
      </c>
    </row>
    <row r="1369" spans="1:4" x14ac:dyDescent="0.25">
      <c r="A1369" s="89" t="s">
        <v>53</v>
      </c>
      <c r="B1369" s="89" t="s">
        <v>616</v>
      </c>
      <c r="C1369" s="89">
        <v>314376.23</v>
      </c>
      <c r="D1369" s="89" t="s">
        <v>663</v>
      </c>
    </row>
    <row r="1370" spans="1:4" x14ac:dyDescent="0.25">
      <c r="A1370" s="89" t="s">
        <v>53</v>
      </c>
      <c r="B1370" s="89" t="s">
        <v>616</v>
      </c>
      <c r="C1370" s="89">
        <v>1633650</v>
      </c>
      <c r="D1370" s="89" t="s">
        <v>663</v>
      </c>
    </row>
    <row r="1371" spans="1:4" x14ac:dyDescent="0.25">
      <c r="A1371" s="89" t="s">
        <v>53</v>
      </c>
      <c r="B1371" s="89" t="s">
        <v>616</v>
      </c>
      <c r="C1371" s="89">
        <v>96521.61</v>
      </c>
      <c r="D1371" s="89" t="s">
        <v>666</v>
      </c>
    </row>
    <row r="1372" spans="1:4" x14ac:dyDescent="0.25">
      <c r="A1372" s="89" t="s">
        <v>53</v>
      </c>
      <c r="B1372" s="89" t="s">
        <v>616</v>
      </c>
      <c r="C1372" s="89">
        <v>1989347</v>
      </c>
      <c r="D1372" s="89" t="s">
        <v>663</v>
      </c>
    </row>
    <row r="1373" spans="1:4" x14ac:dyDescent="0.25">
      <c r="A1373" s="89" t="s">
        <v>53</v>
      </c>
      <c r="B1373" s="89" t="s">
        <v>616</v>
      </c>
      <c r="C1373" s="89">
        <v>997955.68</v>
      </c>
      <c r="D1373" s="89" t="s">
        <v>666</v>
      </c>
    </row>
    <row r="1374" spans="1:4" x14ac:dyDescent="0.25">
      <c r="A1374" s="89" t="s">
        <v>53</v>
      </c>
      <c r="B1374" s="89" t="s">
        <v>616</v>
      </c>
      <c r="C1374" s="89">
        <v>50000</v>
      </c>
      <c r="D1374" s="89" t="s">
        <v>666</v>
      </c>
    </row>
    <row r="1375" spans="1:4" x14ac:dyDescent="0.25">
      <c r="A1375" s="89" t="s">
        <v>53</v>
      </c>
      <c r="B1375" s="89" t="s">
        <v>616</v>
      </c>
      <c r="C1375" s="89">
        <v>479246.31</v>
      </c>
      <c r="D1375" s="89" t="s">
        <v>664</v>
      </c>
    </row>
    <row r="1376" spans="1:4" x14ac:dyDescent="0.25">
      <c r="A1376" s="89" t="s">
        <v>53</v>
      </c>
      <c r="B1376" s="89" t="s">
        <v>616</v>
      </c>
      <c r="C1376" s="89">
        <v>2520191.0699999998</v>
      </c>
      <c r="D1376" s="89" t="s">
        <v>663</v>
      </c>
    </row>
    <row r="1377" spans="1:4" x14ac:dyDescent="0.25">
      <c r="A1377" s="89" t="s">
        <v>53</v>
      </c>
      <c r="B1377" s="89" t="s">
        <v>616</v>
      </c>
      <c r="C1377" s="89">
        <v>1111640.03</v>
      </c>
      <c r="D1377" s="89" t="s">
        <v>664</v>
      </c>
    </row>
    <row r="1378" spans="1:4" x14ac:dyDescent="0.25">
      <c r="A1378" s="89" t="s">
        <v>53</v>
      </c>
      <c r="B1378" s="89" t="s">
        <v>616</v>
      </c>
      <c r="C1378" s="89">
        <v>9008074.1899999995</v>
      </c>
      <c r="D1378" s="89" t="s">
        <v>664</v>
      </c>
    </row>
    <row r="1379" spans="1:4" x14ac:dyDescent="0.25">
      <c r="A1379" s="89" t="s">
        <v>203</v>
      </c>
      <c r="B1379" s="89" t="s">
        <v>639</v>
      </c>
      <c r="C1379" s="89">
        <v>642025</v>
      </c>
      <c r="D1379" s="89" t="s">
        <v>663</v>
      </c>
    </row>
    <row r="1380" spans="1:4" x14ac:dyDescent="0.25">
      <c r="A1380" s="89" t="s">
        <v>203</v>
      </c>
      <c r="B1380" s="89" t="s">
        <v>639</v>
      </c>
      <c r="C1380" s="89">
        <v>791012</v>
      </c>
      <c r="D1380" s="89" t="s">
        <v>663</v>
      </c>
    </row>
    <row r="1381" spans="1:4" x14ac:dyDescent="0.25">
      <c r="A1381" s="89" t="s">
        <v>203</v>
      </c>
      <c r="B1381" s="89" t="s">
        <v>639</v>
      </c>
      <c r="C1381" s="89">
        <v>370709</v>
      </c>
      <c r="D1381" s="89" t="s">
        <v>663</v>
      </c>
    </row>
    <row r="1382" spans="1:4" x14ac:dyDescent="0.25">
      <c r="A1382" s="89" t="s">
        <v>203</v>
      </c>
      <c r="B1382" s="89" t="s">
        <v>639</v>
      </c>
      <c r="C1382" s="89">
        <v>583929</v>
      </c>
      <c r="D1382" s="89" t="s">
        <v>663</v>
      </c>
    </row>
    <row r="1383" spans="1:4" x14ac:dyDescent="0.25">
      <c r="A1383" s="89" t="s">
        <v>203</v>
      </c>
      <c r="B1383" s="89" t="s">
        <v>639</v>
      </c>
      <c r="C1383" s="89">
        <v>144449</v>
      </c>
      <c r="D1383" s="89" t="s">
        <v>663</v>
      </c>
    </row>
    <row r="1384" spans="1:4" x14ac:dyDescent="0.25">
      <c r="A1384" s="89" t="s">
        <v>203</v>
      </c>
      <c r="B1384" s="89" t="s">
        <v>639</v>
      </c>
      <c r="C1384" s="89">
        <v>390800</v>
      </c>
      <c r="D1384" s="89" t="s">
        <v>663</v>
      </c>
    </row>
    <row r="1385" spans="1:4" x14ac:dyDescent="0.25">
      <c r="A1385" s="89" t="s">
        <v>203</v>
      </c>
      <c r="B1385" s="89" t="s">
        <v>639</v>
      </c>
      <c r="C1385" s="89">
        <v>524862</v>
      </c>
      <c r="D1385" s="89" t="s">
        <v>663</v>
      </c>
    </row>
    <row r="1386" spans="1:4" x14ac:dyDescent="0.25">
      <c r="A1386" s="89" t="s">
        <v>203</v>
      </c>
      <c r="B1386" s="89" t="s">
        <v>639</v>
      </c>
      <c r="C1386" s="89">
        <v>1098000</v>
      </c>
      <c r="D1386" s="89" t="s">
        <v>663</v>
      </c>
    </row>
    <row r="1387" spans="1:4" x14ac:dyDescent="0.25">
      <c r="A1387" s="89" t="s">
        <v>203</v>
      </c>
      <c r="B1387" s="89" t="s">
        <v>639</v>
      </c>
      <c r="C1387" s="89">
        <v>399406</v>
      </c>
      <c r="D1387" s="89" t="s">
        <v>663</v>
      </c>
    </row>
    <row r="1388" spans="1:4" x14ac:dyDescent="0.25">
      <c r="A1388" s="89" t="s">
        <v>203</v>
      </c>
      <c r="B1388" s="89" t="s">
        <v>639</v>
      </c>
      <c r="C1388" s="89">
        <v>-868.26</v>
      </c>
      <c r="D1388" s="89" t="s">
        <v>663</v>
      </c>
    </row>
    <row r="1389" spans="1:4" x14ac:dyDescent="0.25">
      <c r="A1389" s="89" t="s">
        <v>202</v>
      </c>
      <c r="B1389" s="89" t="s">
        <v>615</v>
      </c>
      <c r="C1389" s="89">
        <v>1096968</v>
      </c>
      <c r="D1389" s="89" t="s">
        <v>663</v>
      </c>
    </row>
    <row r="1390" spans="1:4" x14ac:dyDescent="0.25">
      <c r="A1390" s="89" t="s">
        <v>202</v>
      </c>
      <c r="B1390" s="89" t="s">
        <v>615</v>
      </c>
      <c r="C1390" s="89">
        <v>484615</v>
      </c>
      <c r="D1390" s="89" t="s">
        <v>663</v>
      </c>
    </row>
    <row r="1391" spans="1:4" x14ac:dyDescent="0.25">
      <c r="A1391" s="89" t="s">
        <v>202</v>
      </c>
      <c r="B1391" s="89" t="s">
        <v>615</v>
      </c>
      <c r="C1391" s="89">
        <v>2600000</v>
      </c>
      <c r="D1391" s="89" t="s">
        <v>663</v>
      </c>
    </row>
    <row r="1392" spans="1:4" x14ac:dyDescent="0.25">
      <c r="A1392" s="89" t="s">
        <v>202</v>
      </c>
      <c r="B1392" s="89" t="s">
        <v>615</v>
      </c>
      <c r="C1392" s="89">
        <v>1400000</v>
      </c>
      <c r="D1392" s="89" t="s">
        <v>663</v>
      </c>
    </row>
    <row r="1393" spans="1:4" x14ac:dyDescent="0.25">
      <c r="A1393" s="89" t="s">
        <v>202</v>
      </c>
      <c r="B1393" s="89" t="s">
        <v>615</v>
      </c>
      <c r="C1393" s="89">
        <v>4000000</v>
      </c>
      <c r="D1393" s="89" t="s">
        <v>663</v>
      </c>
    </row>
    <row r="1394" spans="1:4" x14ac:dyDescent="0.25">
      <c r="A1394" s="89" t="s">
        <v>202</v>
      </c>
      <c r="B1394" s="89" t="s">
        <v>615</v>
      </c>
      <c r="C1394" s="89">
        <v>1390405</v>
      </c>
      <c r="D1394" s="89" t="s">
        <v>663</v>
      </c>
    </row>
    <row r="1395" spans="1:4" x14ac:dyDescent="0.25">
      <c r="A1395" s="89" t="s">
        <v>202</v>
      </c>
      <c r="B1395" s="89" t="s">
        <v>615</v>
      </c>
      <c r="C1395" s="89">
        <v>1461671</v>
      </c>
      <c r="D1395" s="89" t="s">
        <v>663</v>
      </c>
    </row>
    <row r="1396" spans="1:4" x14ac:dyDescent="0.25">
      <c r="A1396" s="89" t="s">
        <v>202</v>
      </c>
      <c r="B1396" s="89" t="s">
        <v>615</v>
      </c>
      <c r="C1396" s="89">
        <v>1406784</v>
      </c>
      <c r="D1396" s="89" t="s">
        <v>663</v>
      </c>
    </row>
    <row r="1397" spans="1:4" x14ac:dyDescent="0.25">
      <c r="A1397" s="89" t="s">
        <v>202</v>
      </c>
      <c r="B1397" s="89" t="s">
        <v>615</v>
      </c>
      <c r="C1397" s="89">
        <v>3092416</v>
      </c>
      <c r="D1397" s="89" t="s">
        <v>663</v>
      </c>
    </row>
    <row r="1398" spans="1:4" x14ac:dyDescent="0.25">
      <c r="A1398" s="89" t="s">
        <v>202</v>
      </c>
      <c r="B1398" s="89" t="s">
        <v>615</v>
      </c>
      <c r="C1398" s="89">
        <v>2838730</v>
      </c>
      <c r="D1398" s="89" t="s">
        <v>663</v>
      </c>
    </row>
    <row r="1399" spans="1:4" x14ac:dyDescent="0.25">
      <c r="A1399" s="89" t="s">
        <v>202</v>
      </c>
      <c r="B1399" s="89" t="s">
        <v>615</v>
      </c>
      <c r="C1399" s="89">
        <v>3709626</v>
      </c>
      <c r="D1399" s="89" t="s">
        <v>666</v>
      </c>
    </row>
    <row r="1400" spans="1:4" x14ac:dyDescent="0.25">
      <c r="A1400" s="89" t="s">
        <v>202</v>
      </c>
      <c r="B1400" s="89" t="s">
        <v>615</v>
      </c>
      <c r="C1400" s="89">
        <v>936385</v>
      </c>
      <c r="D1400" s="89" t="s">
        <v>663</v>
      </c>
    </row>
    <row r="1401" spans="1:4" x14ac:dyDescent="0.25">
      <c r="A1401" s="89" t="s">
        <v>202</v>
      </c>
      <c r="B1401" s="89" t="s">
        <v>615</v>
      </c>
      <c r="C1401" s="89">
        <v>400897</v>
      </c>
      <c r="D1401" s="89" t="s">
        <v>663</v>
      </c>
    </row>
    <row r="1402" spans="1:4" x14ac:dyDescent="0.25">
      <c r="A1402" s="89" t="s">
        <v>202</v>
      </c>
      <c r="B1402" s="89" t="s">
        <v>615</v>
      </c>
      <c r="C1402" s="89">
        <v>1177313</v>
      </c>
      <c r="D1402" s="89" t="s">
        <v>663</v>
      </c>
    </row>
    <row r="1403" spans="1:4" x14ac:dyDescent="0.25">
      <c r="A1403" s="89" t="s">
        <v>202</v>
      </c>
      <c r="B1403" s="89" t="s">
        <v>615</v>
      </c>
      <c r="C1403" s="89">
        <v>1383944</v>
      </c>
      <c r="D1403" s="89" t="s">
        <v>663</v>
      </c>
    </row>
    <row r="1404" spans="1:4" x14ac:dyDescent="0.25">
      <c r="A1404" s="89" t="s">
        <v>202</v>
      </c>
      <c r="B1404" s="89" t="s">
        <v>615</v>
      </c>
      <c r="C1404" s="89">
        <v>5976101</v>
      </c>
      <c r="D1404" s="89" t="s">
        <v>663</v>
      </c>
    </row>
    <row r="1405" spans="1:4" x14ac:dyDescent="0.25">
      <c r="A1405" s="89" t="s">
        <v>202</v>
      </c>
      <c r="B1405" s="89" t="s">
        <v>615</v>
      </c>
      <c r="C1405" s="89">
        <v>1156358</v>
      </c>
      <c r="D1405" s="89" t="s">
        <v>663</v>
      </c>
    </row>
    <row r="1406" spans="1:4" x14ac:dyDescent="0.25">
      <c r="A1406" s="89" t="s">
        <v>202</v>
      </c>
      <c r="B1406" s="89" t="s">
        <v>615</v>
      </c>
      <c r="C1406" s="89">
        <v>1054400</v>
      </c>
      <c r="D1406" s="89" t="s">
        <v>663</v>
      </c>
    </row>
    <row r="1407" spans="1:4" x14ac:dyDescent="0.25">
      <c r="A1407" s="89" t="s">
        <v>202</v>
      </c>
      <c r="B1407" s="89" t="s">
        <v>615</v>
      </c>
      <c r="C1407" s="89">
        <v>344654</v>
      </c>
      <c r="D1407" s="89" t="s">
        <v>666</v>
      </c>
    </row>
    <row r="1408" spans="1:4" x14ac:dyDescent="0.25">
      <c r="A1408" s="89" t="s">
        <v>202</v>
      </c>
      <c r="B1408" s="89" t="s">
        <v>615</v>
      </c>
      <c r="C1408" s="89">
        <v>196402</v>
      </c>
      <c r="D1408" s="89" t="s">
        <v>663</v>
      </c>
    </row>
    <row r="1409" spans="1:4" x14ac:dyDescent="0.25">
      <c r="A1409" s="89" t="s">
        <v>202</v>
      </c>
      <c r="B1409" s="89" t="s">
        <v>615</v>
      </c>
      <c r="C1409" s="89">
        <v>2630046</v>
      </c>
      <c r="D1409" s="89" t="s">
        <v>663</v>
      </c>
    </row>
    <row r="1410" spans="1:4" x14ac:dyDescent="0.25">
      <c r="A1410" s="89" t="s">
        <v>202</v>
      </c>
      <c r="B1410" s="89" t="s">
        <v>615</v>
      </c>
      <c r="C1410" s="89">
        <v>1066865</v>
      </c>
      <c r="D1410" s="89" t="s">
        <v>663</v>
      </c>
    </row>
    <row r="1411" spans="1:4" x14ac:dyDescent="0.25">
      <c r="A1411" s="89" t="s">
        <v>202</v>
      </c>
      <c r="B1411" s="89" t="s">
        <v>615</v>
      </c>
      <c r="C1411" s="89">
        <v>1378573</v>
      </c>
      <c r="D1411" s="89" t="s">
        <v>663</v>
      </c>
    </row>
    <row r="1412" spans="1:4" x14ac:dyDescent="0.25">
      <c r="A1412" s="89" t="s">
        <v>202</v>
      </c>
      <c r="B1412" s="89" t="s">
        <v>615</v>
      </c>
      <c r="C1412" s="89">
        <v>2465129</v>
      </c>
      <c r="D1412" s="89" t="s">
        <v>663</v>
      </c>
    </row>
    <row r="1413" spans="1:4" x14ac:dyDescent="0.25">
      <c r="A1413" s="89" t="s">
        <v>202</v>
      </c>
      <c r="B1413" s="89" t="s">
        <v>615</v>
      </c>
      <c r="C1413" s="89">
        <v>1000000</v>
      </c>
      <c r="D1413" s="89" t="s">
        <v>663</v>
      </c>
    </row>
    <row r="1414" spans="1:4" x14ac:dyDescent="0.25">
      <c r="A1414" s="89" t="s">
        <v>202</v>
      </c>
      <c r="B1414" s="89" t="s">
        <v>615</v>
      </c>
      <c r="C1414" s="89">
        <v>635057</v>
      </c>
      <c r="D1414" s="89" t="s">
        <v>663</v>
      </c>
    </row>
    <row r="1415" spans="1:4" x14ac:dyDescent="0.25">
      <c r="A1415" s="89" t="s">
        <v>202</v>
      </c>
      <c r="B1415" s="89" t="s">
        <v>615</v>
      </c>
      <c r="C1415" s="89">
        <v>375090</v>
      </c>
      <c r="D1415" s="89" t="s">
        <v>666</v>
      </c>
    </row>
    <row r="1416" spans="1:4" x14ac:dyDescent="0.25">
      <c r="A1416" s="89" t="s">
        <v>202</v>
      </c>
      <c r="B1416" s="89" t="s">
        <v>615</v>
      </c>
      <c r="C1416" s="89">
        <v>2077955</v>
      </c>
      <c r="D1416" s="89" t="s">
        <v>663</v>
      </c>
    </row>
    <row r="1417" spans="1:4" x14ac:dyDescent="0.25">
      <c r="A1417" s="89" t="s">
        <v>202</v>
      </c>
      <c r="B1417" s="89" t="s">
        <v>615</v>
      </c>
      <c r="C1417" s="89">
        <v>1509031</v>
      </c>
      <c r="D1417" s="89" t="s">
        <v>663</v>
      </c>
    </row>
    <row r="1418" spans="1:4" x14ac:dyDescent="0.25">
      <c r="A1418" s="89" t="s">
        <v>202</v>
      </c>
      <c r="B1418" s="89" t="s">
        <v>615</v>
      </c>
      <c r="C1418" s="89">
        <v>652047</v>
      </c>
      <c r="D1418" s="89" t="s">
        <v>663</v>
      </c>
    </row>
    <row r="1419" spans="1:4" x14ac:dyDescent="0.25">
      <c r="A1419" s="89" t="s">
        <v>202</v>
      </c>
      <c r="B1419" s="89" t="s">
        <v>615</v>
      </c>
      <c r="C1419" s="89">
        <v>2524435</v>
      </c>
      <c r="D1419" s="89" t="s">
        <v>663</v>
      </c>
    </row>
    <row r="1420" spans="1:4" x14ac:dyDescent="0.25">
      <c r="A1420" s="89" t="s">
        <v>202</v>
      </c>
      <c r="B1420" s="89" t="s">
        <v>615</v>
      </c>
      <c r="C1420" s="89">
        <v>1754859</v>
      </c>
      <c r="D1420" s="89" t="s">
        <v>663</v>
      </c>
    </row>
    <row r="1421" spans="1:4" x14ac:dyDescent="0.25">
      <c r="A1421" s="89" t="s">
        <v>202</v>
      </c>
      <c r="B1421" s="89" t="s">
        <v>615</v>
      </c>
      <c r="C1421" s="89">
        <v>554995</v>
      </c>
      <c r="D1421" s="89" t="s">
        <v>663</v>
      </c>
    </row>
    <row r="1422" spans="1:4" x14ac:dyDescent="0.25">
      <c r="A1422" s="89" t="s">
        <v>202</v>
      </c>
      <c r="B1422" s="89" t="s">
        <v>615</v>
      </c>
      <c r="C1422" s="89">
        <v>1026375</v>
      </c>
      <c r="D1422" s="89" t="s">
        <v>666</v>
      </c>
    </row>
    <row r="1423" spans="1:4" x14ac:dyDescent="0.25">
      <c r="A1423" s="89" t="s">
        <v>202</v>
      </c>
      <c r="B1423" s="89" t="s">
        <v>615</v>
      </c>
      <c r="C1423" s="89">
        <v>1148191</v>
      </c>
      <c r="D1423" s="89" t="s">
        <v>663</v>
      </c>
    </row>
    <row r="1424" spans="1:4" x14ac:dyDescent="0.25">
      <c r="A1424" s="89" t="s">
        <v>202</v>
      </c>
      <c r="B1424" s="89" t="s">
        <v>615</v>
      </c>
      <c r="C1424" s="89">
        <v>721136</v>
      </c>
      <c r="D1424" s="89" t="s">
        <v>663</v>
      </c>
    </row>
    <row r="1425" spans="1:4" x14ac:dyDescent="0.25">
      <c r="A1425" s="89" t="s">
        <v>202</v>
      </c>
      <c r="B1425" s="89" t="s">
        <v>615</v>
      </c>
      <c r="C1425" s="89">
        <v>3781487</v>
      </c>
      <c r="D1425" s="89" t="s">
        <v>663</v>
      </c>
    </row>
    <row r="1426" spans="1:4" x14ac:dyDescent="0.25">
      <c r="A1426" s="89" t="s">
        <v>202</v>
      </c>
      <c r="B1426" s="89" t="s">
        <v>615</v>
      </c>
      <c r="C1426" s="89">
        <v>299521</v>
      </c>
      <c r="D1426" s="89" t="s">
        <v>666</v>
      </c>
    </row>
    <row r="1427" spans="1:4" x14ac:dyDescent="0.25">
      <c r="A1427" s="89" t="s">
        <v>202</v>
      </c>
      <c r="B1427" s="89" t="s">
        <v>615</v>
      </c>
      <c r="C1427" s="89">
        <v>2332129</v>
      </c>
      <c r="D1427" s="89" t="s">
        <v>663</v>
      </c>
    </row>
    <row r="1428" spans="1:4" x14ac:dyDescent="0.25">
      <c r="A1428" s="89" t="s">
        <v>52</v>
      </c>
      <c r="B1428" s="89" t="s">
        <v>617</v>
      </c>
      <c r="C1428" s="89">
        <v>334710</v>
      </c>
      <c r="D1428" s="89" t="s">
        <v>663</v>
      </c>
    </row>
    <row r="1429" spans="1:4" x14ac:dyDescent="0.25">
      <c r="A1429" s="89" t="s">
        <v>52</v>
      </c>
      <c r="B1429" s="89" t="s">
        <v>617</v>
      </c>
      <c r="C1429" s="89">
        <v>524039</v>
      </c>
      <c r="D1429" s="89" t="s">
        <v>663</v>
      </c>
    </row>
    <row r="1430" spans="1:4" x14ac:dyDescent="0.25">
      <c r="A1430" s="89" t="s">
        <v>52</v>
      </c>
      <c r="B1430" s="89" t="s">
        <v>617</v>
      </c>
      <c r="C1430" s="89">
        <v>834471</v>
      </c>
      <c r="D1430" s="89" t="s">
        <v>663</v>
      </c>
    </row>
    <row r="1431" spans="1:4" x14ac:dyDescent="0.25">
      <c r="A1431" s="89" t="s">
        <v>52</v>
      </c>
      <c r="B1431" s="89" t="s">
        <v>617</v>
      </c>
      <c r="C1431" s="89">
        <v>717440</v>
      </c>
      <c r="D1431" s="89" t="s">
        <v>663</v>
      </c>
    </row>
    <row r="1432" spans="1:4" x14ac:dyDescent="0.25">
      <c r="A1432" s="89" t="s">
        <v>52</v>
      </c>
      <c r="B1432" s="89" t="s">
        <v>617</v>
      </c>
      <c r="C1432" s="89">
        <v>2106700</v>
      </c>
      <c r="D1432" s="89" t="s">
        <v>663</v>
      </c>
    </row>
    <row r="1433" spans="1:4" x14ac:dyDescent="0.25">
      <c r="A1433" s="89" t="s">
        <v>52</v>
      </c>
      <c r="B1433" s="89" t="s">
        <v>617</v>
      </c>
      <c r="C1433" s="89">
        <v>530791.97</v>
      </c>
      <c r="D1433" s="89" t="s">
        <v>663</v>
      </c>
    </row>
    <row r="1434" spans="1:4" x14ac:dyDescent="0.25">
      <c r="A1434" s="89" t="s">
        <v>52</v>
      </c>
      <c r="B1434" s="89" t="s">
        <v>617</v>
      </c>
      <c r="C1434" s="89">
        <v>269740</v>
      </c>
      <c r="D1434" s="89" t="s">
        <v>666</v>
      </c>
    </row>
    <row r="1435" spans="1:4" x14ac:dyDescent="0.25">
      <c r="A1435" s="89" t="s">
        <v>52</v>
      </c>
      <c r="B1435" s="89" t="s">
        <v>617</v>
      </c>
      <c r="C1435" s="89">
        <v>340592</v>
      </c>
      <c r="D1435" s="89" t="s">
        <v>663</v>
      </c>
    </row>
    <row r="1436" spans="1:4" x14ac:dyDescent="0.25">
      <c r="A1436" s="89" t="s">
        <v>52</v>
      </c>
      <c r="B1436" s="89" t="s">
        <v>617</v>
      </c>
      <c r="C1436" s="89">
        <v>1218232</v>
      </c>
      <c r="D1436" s="89" t="s">
        <v>664</v>
      </c>
    </row>
    <row r="1437" spans="1:4" x14ac:dyDescent="0.25">
      <c r="A1437" s="89" t="s">
        <v>52</v>
      </c>
      <c r="B1437" s="89" t="s">
        <v>617</v>
      </c>
      <c r="C1437" s="89">
        <v>37791.83</v>
      </c>
      <c r="D1437" s="89" t="s">
        <v>664</v>
      </c>
    </row>
    <row r="1438" spans="1:4" x14ac:dyDescent="0.25">
      <c r="A1438" s="89" t="s">
        <v>52</v>
      </c>
      <c r="B1438" s="89" t="s">
        <v>617</v>
      </c>
      <c r="C1438" s="89">
        <v>816023.82</v>
      </c>
      <c r="D1438" s="89" t="s">
        <v>663</v>
      </c>
    </row>
    <row r="1439" spans="1:4" x14ac:dyDescent="0.25">
      <c r="A1439" s="89" t="s">
        <v>52</v>
      </c>
      <c r="B1439" s="89" t="s">
        <v>617</v>
      </c>
      <c r="C1439" s="89">
        <v>303524.15000000002</v>
      </c>
      <c r="D1439" s="89" t="s">
        <v>664</v>
      </c>
    </row>
    <row r="1440" spans="1:4" x14ac:dyDescent="0.25">
      <c r="A1440" s="89" t="s">
        <v>52</v>
      </c>
      <c r="B1440" s="89" t="s">
        <v>617</v>
      </c>
      <c r="C1440" s="89">
        <v>302401.15000000002</v>
      </c>
      <c r="D1440" s="89" t="s">
        <v>666</v>
      </c>
    </row>
    <row r="1441" spans="1:4" x14ac:dyDescent="0.25">
      <c r="A1441" s="89" t="s">
        <v>52</v>
      </c>
      <c r="B1441" s="89" t="s">
        <v>617</v>
      </c>
      <c r="C1441" s="89">
        <v>111169.28</v>
      </c>
      <c r="D1441" s="89" t="s">
        <v>664</v>
      </c>
    </row>
    <row r="1442" spans="1:4" x14ac:dyDescent="0.25">
      <c r="A1442" s="89" t="s">
        <v>52</v>
      </c>
      <c r="B1442" s="89" t="s">
        <v>617</v>
      </c>
      <c r="C1442" s="89">
        <v>146471</v>
      </c>
      <c r="D1442" s="89" t="s">
        <v>664</v>
      </c>
    </row>
    <row r="1443" spans="1:4" x14ac:dyDescent="0.25">
      <c r="A1443" s="89" t="s">
        <v>52</v>
      </c>
      <c r="B1443" s="89" t="s">
        <v>617</v>
      </c>
      <c r="C1443" s="89">
        <v>707023</v>
      </c>
      <c r="D1443" s="89" t="s">
        <v>663</v>
      </c>
    </row>
    <row r="1444" spans="1:4" x14ac:dyDescent="0.25">
      <c r="A1444" s="89" t="s">
        <v>52</v>
      </c>
      <c r="B1444" s="89" t="s">
        <v>617</v>
      </c>
      <c r="C1444" s="89">
        <v>227356.24</v>
      </c>
      <c r="D1444" s="89" t="s">
        <v>666</v>
      </c>
    </row>
    <row r="1445" spans="1:4" x14ac:dyDescent="0.25">
      <c r="A1445" s="89" t="s">
        <v>52</v>
      </c>
      <c r="B1445" s="89" t="s">
        <v>617</v>
      </c>
      <c r="C1445" s="89">
        <v>438414.89</v>
      </c>
      <c r="D1445" s="89" t="s">
        <v>663</v>
      </c>
    </row>
    <row r="1446" spans="1:4" x14ac:dyDescent="0.25">
      <c r="A1446" s="89" t="s">
        <v>52</v>
      </c>
      <c r="B1446" s="89" t="s">
        <v>617</v>
      </c>
      <c r="C1446" s="89">
        <v>1262769</v>
      </c>
      <c r="D1446" s="89" t="s">
        <v>663</v>
      </c>
    </row>
    <row r="1447" spans="1:4" x14ac:dyDescent="0.25">
      <c r="A1447" s="89" t="s">
        <v>52</v>
      </c>
      <c r="B1447" s="89" t="s">
        <v>617</v>
      </c>
      <c r="C1447" s="89">
        <v>199061.82</v>
      </c>
      <c r="D1447" s="89" t="s">
        <v>666</v>
      </c>
    </row>
    <row r="1448" spans="1:4" x14ac:dyDescent="0.25">
      <c r="A1448" s="89" t="s">
        <v>52</v>
      </c>
      <c r="B1448" s="89" t="s">
        <v>617</v>
      </c>
      <c r="C1448" s="89">
        <v>86069</v>
      </c>
      <c r="D1448" s="89" t="s">
        <v>664</v>
      </c>
    </row>
    <row r="1449" spans="1:4" x14ac:dyDescent="0.25">
      <c r="A1449" s="89" t="s">
        <v>52</v>
      </c>
      <c r="B1449" s="89" t="s">
        <v>617</v>
      </c>
      <c r="C1449" s="89">
        <v>28035.11</v>
      </c>
      <c r="D1449" s="89" t="s">
        <v>666</v>
      </c>
    </row>
    <row r="1450" spans="1:4" x14ac:dyDescent="0.25">
      <c r="A1450" s="89" t="s">
        <v>52</v>
      </c>
      <c r="B1450" s="89" t="s">
        <v>617</v>
      </c>
      <c r="C1450" s="89">
        <v>142036.91</v>
      </c>
      <c r="D1450" s="89" t="s">
        <v>666</v>
      </c>
    </row>
    <row r="1451" spans="1:4" x14ac:dyDescent="0.25">
      <c r="A1451" s="89" t="s">
        <v>52</v>
      </c>
      <c r="B1451" s="89" t="s">
        <v>617</v>
      </c>
      <c r="C1451" s="89">
        <v>640512.98</v>
      </c>
      <c r="D1451" s="89" t="s">
        <v>663</v>
      </c>
    </row>
    <row r="1452" spans="1:4" x14ac:dyDescent="0.25">
      <c r="A1452" s="89" t="s">
        <v>52</v>
      </c>
      <c r="B1452" s="89" t="s">
        <v>617</v>
      </c>
      <c r="C1452" s="89">
        <v>69834</v>
      </c>
      <c r="D1452" s="89" t="s">
        <v>663</v>
      </c>
    </row>
    <row r="1453" spans="1:4" x14ac:dyDescent="0.25">
      <c r="A1453" s="89" t="s">
        <v>52</v>
      </c>
      <c r="B1453" s="89" t="s">
        <v>617</v>
      </c>
      <c r="C1453" s="89">
        <v>230691</v>
      </c>
      <c r="D1453" s="89" t="s">
        <v>663</v>
      </c>
    </row>
    <row r="1454" spans="1:4" x14ac:dyDescent="0.25">
      <c r="A1454" s="89" t="s">
        <v>52</v>
      </c>
      <c r="B1454" s="89" t="s">
        <v>617</v>
      </c>
      <c r="C1454" s="89">
        <v>1600000</v>
      </c>
      <c r="D1454" s="89" t="s">
        <v>663</v>
      </c>
    </row>
    <row r="1455" spans="1:4" x14ac:dyDescent="0.25">
      <c r="A1455" s="89" t="s">
        <v>52</v>
      </c>
      <c r="B1455" s="89" t="s">
        <v>617</v>
      </c>
      <c r="C1455" s="89">
        <v>1201817.45</v>
      </c>
      <c r="D1455" s="89" t="s">
        <v>663</v>
      </c>
    </row>
    <row r="1456" spans="1:4" x14ac:dyDescent="0.25">
      <c r="A1456" s="89" t="s">
        <v>52</v>
      </c>
      <c r="B1456" s="89" t="s">
        <v>617</v>
      </c>
      <c r="C1456" s="89">
        <v>1200000</v>
      </c>
      <c r="D1456" s="89" t="s">
        <v>663</v>
      </c>
    </row>
    <row r="1457" spans="1:4" x14ac:dyDescent="0.25">
      <c r="A1457" s="89" t="s">
        <v>52</v>
      </c>
      <c r="B1457" s="89" t="s">
        <v>617</v>
      </c>
      <c r="C1457" s="89">
        <v>159472.15</v>
      </c>
      <c r="D1457" s="89" t="s">
        <v>666</v>
      </c>
    </row>
    <row r="1458" spans="1:4" x14ac:dyDescent="0.25">
      <c r="A1458" s="89" t="s">
        <v>52</v>
      </c>
      <c r="B1458" s="89" t="s">
        <v>617</v>
      </c>
      <c r="C1458" s="89">
        <v>225515.96</v>
      </c>
      <c r="D1458" s="89" t="s">
        <v>664</v>
      </c>
    </row>
    <row r="1459" spans="1:4" x14ac:dyDescent="0.25">
      <c r="A1459" s="89" t="s">
        <v>52</v>
      </c>
      <c r="B1459" s="89" t="s">
        <v>617</v>
      </c>
      <c r="C1459" s="89">
        <v>74671.19</v>
      </c>
      <c r="D1459" s="89" t="s">
        <v>666</v>
      </c>
    </row>
    <row r="1460" spans="1:4" x14ac:dyDescent="0.25">
      <c r="A1460" s="89" t="s">
        <v>52</v>
      </c>
      <c r="B1460" s="89" t="s">
        <v>617</v>
      </c>
      <c r="C1460" s="89">
        <v>111231.72</v>
      </c>
      <c r="D1460" s="89" t="s">
        <v>666</v>
      </c>
    </row>
    <row r="1461" spans="1:4" x14ac:dyDescent="0.25">
      <c r="A1461" s="89" t="s">
        <v>52</v>
      </c>
      <c r="B1461" s="89" t="s">
        <v>617</v>
      </c>
      <c r="C1461" s="89">
        <v>1382749.05</v>
      </c>
      <c r="D1461" s="89" t="s">
        <v>663</v>
      </c>
    </row>
    <row r="1462" spans="1:4" x14ac:dyDescent="0.25">
      <c r="A1462" s="89" t="s">
        <v>52</v>
      </c>
      <c r="B1462" s="89" t="s">
        <v>617</v>
      </c>
      <c r="C1462" s="89">
        <v>629642.78</v>
      </c>
      <c r="D1462" s="89" t="s">
        <v>664</v>
      </c>
    </row>
    <row r="1463" spans="1:4" x14ac:dyDescent="0.25">
      <c r="A1463" s="89" t="s">
        <v>52</v>
      </c>
      <c r="B1463" s="89" t="s">
        <v>617</v>
      </c>
      <c r="C1463" s="89">
        <v>1107232</v>
      </c>
      <c r="D1463" s="89" t="s">
        <v>663</v>
      </c>
    </row>
    <row r="1464" spans="1:4" x14ac:dyDescent="0.25">
      <c r="A1464" s="89" t="s">
        <v>52</v>
      </c>
      <c r="B1464" s="89" t="s">
        <v>617</v>
      </c>
      <c r="C1464" s="89">
        <v>-360064</v>
      </c>
      <c r="D1464" s="89" t="s">
        <v>663</v>
      </c>
    </row>
    <row r="1465" spans="1:4" x14ac:dyDescent="0.25">
      <c r="A1465" s="89" t="s">
        <v>52</v>
      </c>
      <c r="B1465" s="89" t="s">
        <v>617</v>
      </c>
      <c r="C1465" s="89">
        <v>514123</v>
      </c>
      <c r="D1465" s="89" t="s">
        <v>663</v>
      </c>
    </row>
    <row r="1466" spans="1:4" x14ac:dyDescent="0.25">
      <c r="A1466" s="89" t="s">
        <v>52</v>
      </c>
      <c r="B1466" s="89" t="s">
        <v>617</v>
      </c>
      <c r="C1466" s="89">
        <v>50000</v>
      </c>
      <c r="D1466" s="89" t="s">
        <v>666</v>
      </c>
    </row>
    <row r="1467" spans="1:4" x14ac:dyDescent="0.25">
      <c r="A1467" s="89" t="s">
        <v>52</v>
      </c>
      <c r="B1467" s="89" t="s">
        <v>617</v>
      </c>
      <c r="C1467" s="89">
        <v>137066</v>
      </c>
      <c r="D1467" s="89" t="s">
        <v>666</v>
      </c>
    </row>
    <row r="1468" spans="1:4" x14ac:dyDescent="0.25">
      <c r="A1468" s="89" t="s">
        <v>52</v>
      </c>
      <c r="B1468" s="89" t="s">
        <v>617</v>
      </c>
      <c r="C1468" s="89">
        <v>15274</v>
      </c>
      <c r="D1468" s="89" t="s">
        <v>666</v>
      </c>
    </row>
    <row r="1469" spans="1:4" x14ac:dyDescent="0.25">
      <c r="A1469" s="89" t="s">
        <v>52</v>
      </c>
      <c r="B1469" s="89" t="s">
        <v>617</v>
      </c>
      <c r="C1469" s="89">
        <v>17572</v>
      </c>
      <c r="D1469" s="89" t="s">
        <v>664</v>
      </c>
    </row>
    <row r="1470" spans="1:4" x14ac:dyDescent="0.25">
      <c r="A1470" s="89" t="s">
        <v>52</v>
      </c>
      <c r="B1470" s="89" t="s">
        <v>617</v>
      </c>
      <c r="C1470" s="89">
        <v>49418</v>
      </c>
      <c r="D1470" s="89" t="s">
        <v>664</v>
      </c>
    </row>
    <row r="1471" spans="1:4" x14ac:dyDescent="0.25">
      <c r="A1471" s="89" t="s">
        <v>52</v>
      </c>
      <c r="B1471" s="89" t="s">
        <v>617</v>
      </c>
      <c r="C1471" s="89">
        <v>27582</v>
      </c>
      <c r="D1471" s="89" t="s">
        <v>666</v>
      </c>
    </row>
    <row r="1472" spans="1:4" x14ac:dyDescent="0.25">
      <c r="A1472" s="89" t="s">
        <v>52</v>
      </c>
      <c r="B1472" s="89" t="s">
        <v>617</v>
      </c>
      <c r="C1472" s="89">
        <v>165545</v>
      </c>
      <c r="D1472" s="89" t="s">
        <v>663</v>
      </c>
    </row>
    <row r="1473" spans="1:4" x14ac:dyDescent="0.25">
      <c r="A1473" s="89" t="s">
        <v>52</v>
      </c>
      <c r="B1473" s="89" t="s">
        <v>617</v>
      </c>
      <c r="C1473" s="89">
        <v>97637</v>
      </c>
      <c r="D1473" s="89" t="s">
        <v>663</v>
      </c>
    </row>
    <row r="1474" spans="1:4" x14ac:dyDescent="0.25">
      <c r="A1474" s="89" t="s">
        <v>52</v>
      </c>
      <c r="B1474" s="89" t="s">
        <v>617</v>
      </c>
      <c r="C1474" s="89">
        <v>283953</v>
      </c>
      <c r="D1474" s="89" t="s">
        <v>663</v>
      </c>
    </row>
    <row r="1475" spans="1:4" x14ac:dyDescent="0.25">
      <c r="A1475" s="89" t="s">
        <v>195</v>
      </c>
      <c r="B1475" s="89" t="s">
        <v>615</v>
      </c>
      <c r="C1475" s="89">
        <v>77521</v>
      </c>
      <c r="D1475" s="89" t="s">
        <v>666</v>
      </c>
    </row>
    <row r="1476" spans="1:4" x14ac:dyDescent="0.25">
      <c r="A1476" s="89" t="s">
        <v>195</v>
      </c>
      <c r="B1476" s="89" t="s">
        <v>615</v>
      </c>
      <c r="C1476" s="89">
        <v>1644069</v>
      </c>
      <c r="D1476" s="89" t="s">
        <v>663</v>
      </c>
    </row>
    <row r="1477" spans="1:4" x14ac:dyDescent="0.25">
      <c r="A1477" s="89" t="s">
        <v>195</v>
      </c>
      <c r="B1477" s="89" t="s">
        <v>615</v>
      </c>
      <c r="C1477" s="89">
        <v>476760</v>
      </c>
      <c r="D1477" s="89" t="s">
        <v>666</v>
      </c>
    </row>
    <row r="1478" spans="1:4" x14ac:dyDescent="0.25">
      <c r="A1478" s="89" t="s">
        <v>195</v>
      </c>
      <c r="B1478" s="89" t="s">
        <v>615</v>
      </c>
      <c r="C1478" s="89">
        <v>227685</v>
      </c>
      <c r="D1478" s="89" t="s">
        <v>663</v>
      </c>
    </row>
    <row r="1479" spans="1:4" x14ac:dyDescent="0.25">
      <c r="A1479" s="89" t="s">
        <v>195</v>
      </c>
      <c r="B1479" s="89" t="s">
        <v>615</v>
      </c>
      <c r="C1479" s="89">
        <v>1549267</v>
      </c>
      <c r="D1479" s="89" t="s">
        <v>663</v>
      </c>
    </row>
    <row r="1480" spans="1:4" x14ac:dyDescent="0.25">
      <c r="A1480" s="89" t="s">
        <v>195</v>
      </c>
      <c r="B1480" s="89" t="s">
        <v>615</v>
      </c>
      <c r="C1480" s="89">
        <v>3139016</v>
      </c>
      <c r="D1480" s="89" t="s">
        <v>663</v>
      </c>
    </row>
    <row r="1481" spans="1:4" x14ac:dyDescent="0.25">
      <c r="A1481" s="89" t="s">
        <v>195</v>
      </c>
      <c r="B1481" s="89" t="s">
        <v>615</v>
      </c>
      <c r="C1481" s="89">
        <v>508169</v>
      </c>
      <c r="D1481" s="89" t="s">
        <v>666</v>
      </c>
    </row>
    <row r="1482" spans="1:4" x14ac:dyDescent="0.25">
      <c r="A1482" s="89" t="s">
        <v>195</v>
      </c>
      <c r="B1482" s="89" t="s">
        <v>615</v>
      </c>
      <c r="C1482" s="89">
        <v>3388135</v>
      </c>
      <c r="D1482" s="89" t="s">
        <v>663</v>
      </c>
    </row>
    <row r="1483" spans="1:4" x14ac:dyDescent="0.25">
      <c r="A1483" s="89" t="s">
        <v>195</v>
      </c>
      <c r="B1483" s="89" t="s">
        <v>615</v>
      </c>
      <c r="C1483" s="89">
        <v>620674</v>
      </c>
      <c r="D1483" s="89" t="s">
        <v>666</v>
      </c>
    </row>
    <row r="1484" spans="1:4" x14ac:dyDescent="0.25">
      <c r="A1484" s="89" t="s">
        <v>195</v>
      </c>
      <c r="B1484" s="89" t="s">
        <v>615</v>
      </c>
      <c r="C1484" s="89">
        <v>4243455</v>
      </c>
      <c r="D1484" s="89" t="s">
        <v>663</v>
      </c>
    </row>
    <row r="1485" spans="1:4" x14ac:dyDescent="0.25">
      <c r="A1485" s="89" t="s">
        <v>195</v>
      </c>
      <c r="B1485" s="89" t="s">
        <v>615</v>
      </c>
      <c r="C1485" s="89">
        <v>314928</v>
      </c>
      <c r="D1485" s="89" t="s">
        <v>666</v>
      </c>
    </row>
    <row r="1486" spans="1:4" x14ac:dyDescent="0.25">
      <c r="A1486" s="89" t="s">
        <v>195</v>
      </c>
      <c r="B1486" s="89" t="s">
        <v>615</v>
      </c>
      <c r="C1486" s="89">
        <v>434658</v>
      </c>
      <c r="D1486" s="89" t="s">
        <v>666</v>
      </c>
    </row>
    <row r="1487" spans="1:4" x14ac:dyDescent="0.25">
      <c r="A1487" s="89" t="s">
        <v>195</v>
      </c>
      <c r="B1487" s="89" t="s">
        <v>615</v>
      </c>
      <c r="C1487" s="89">
        <v>6517042</v>
      </c>
      <c r="D1487" s="89" t="s">
        <v>663</v>
      </c>
    </row>
    <row r="1488" spans="1:4" x14ac:dyDescent="0.25">
      <c r="A1488" s="89" t="s">
        <v>195</v>
      </c>
      <c r="B1488" s="89" t="s">
        <v>615</v>
      </c>
      <c r="C1488" s="89">
        <v>1735520</v>
      </c>
      <c r="D1488" s="89" t="s">
        <v>663</v>
      </c>
    </row>
    <row r="1489" spans="1:4" x14ac:dyDescent="0.25">
      <c r="A1489" s="89" t="s">
        <v>195</v>
      </c>
      <c r="B1489" s="89" t="s">
        <v>615</v>
      </c>
      <c r="C1489" s="89">
        <v>78068</v>
      </c>
      <c r="D1489" s="89" t="s">
        <v>663</v>
      </c>
    </row>
    <row r="1490" spans="1:4" x14ac:dyDescent="0.25">
      <c r="A1490" s="89" t="s">
        <v>195</v>
      </c>
      <c r="B1490" s="89" t="s">
        <v>615</v>
      </c>
      <c r="C1490" s="89">
        <v>2912214</v>
      </c>
      <c r="D1490" s="89" t="s">
        <v>663</v>
      </c>
    </row>
    <row r="1491" spans="1:4" x14ac:dyDescent="0.25">
      <c r="A1491" s="89" t="s">
        <v>195</v>
      </c>
      <c r="B1491" s="89" t="s">
        <v>615</v>
      </c>
      <c r="C1491" s="89">
        <v>300504</v>
      </c>
      <c r="D1491" s="89" t="s">
        <v>664</v>
      </c>
    </row>
    <row r="1492" spans="1:4" x14ac:dyDescent="0.25">
      <c r="A1492" s="89" t="s">
        <v>195</v>
      </c>
      <c r="B1492" s="89" t="s">
        <v>615</v>
      </c>
      <c r="C1492" s="89">
        <v>1095844</v>
      </c>
      <c r="D1492" s="89" t="s">
        <v>664</v>
      </c>
    </row>
    <row r="1493" spans="1:4" x14ac:dyDescent="0.25">
      <c r="A1493" s="89" t="s">
        <v>195</v>
      </c>
      <c r="B1493" s="89" t="s">
        <v>615</v>
      </c>
      <c r="C1493" s="89">
        <v>1000068</v>
      </c>
      <c r="D1493" s="89" t="s">
        <v>663</v>
      </c>
    </row>
    <row r="1494" spans="1:4" x14ac:dyDescent="0.25">
      <c r="A1494" s="89" t="s">
        <v>195</v>
      </c>
      <c r="B1494" s="89" t="s">
        <v>615</v>
      </c>
      <c r="C1494" s="89">
        <v>429548</v>
      </c>
      <c r="D1494" s="89" t="s">
        <v>666</v>
      </c>
    </row>
    <row r="1495" spans="1:4" x14ac:dyDescent="0.25">
      <c r="A1495" s="89" t="s">
        <v>195</v>
      </c>
      <c r="B1495" s="89" t="s">
        <v>615</v>
      </c>
      <c r="C1495" s="89">
        <v>4221438</v>
      </c>
      <c r="D1495" s="89" t="s">
        <v>663</v>
      </c>
    </row>
    <row r="1496" spans="1:4" x14ac:dyDescent="0.25">
      <c r="A1496" s="89" t="s">
        <v>195</v>
      </c>
      <c r="B1496" s="89" t="s">
        <v>615</v>
      </c>
      <c r="C1496" s="89">
        <v>199482</v>
      </c>
      <c r="D1496" s="89" t="s">
        <v>666</v>
      </c>
    </row>
    <row r="1497" spans="1:4" x14ac:dyDescent="0.25">
      <c r="A1497" s="89" t="s">
        <v>195</v>
      </c>
      <c r="B1497" s="89" t="s">
        <v>615</v>
      </c>
      <c r="C1497" s="89">
        <v>488788</v>
      </c>
      <c r="D1497" s="89" t="s">
        <v>666</v>
      </c>
    </row>
    <row r="1498" spans="1:4" x14ac:dyDescent="0.25">
      <c r="A1498" s="89" t="s">
        <v>195</v>
      </c>
      <c r="B1498" s="89" t="s">
        <v>615</v>
      </c>
      <c r="C1498" s="89">
        <v>4333814</v>
      </c>
      <c r="D1498" s="89" t="s">
        <v>663</v>
      </c>
    </row>
    <row r="1499" spans="1:4" x14ac:dyDescent="0.25">
      <c r="A1499" s="89" t="s">
        <v>195</v>
      </c>
      <c r="B1499" s="89" t="s">
        <v>615</v>
      </c>
      <c r="C1499" s="89">
        <v>2673033</v>
      </c>
      <c r="D1499" s="89" t="s">
        <v>663</v>
      </c>
    </row>
    <row r="1500" spans="1:4" x14ac:dyDescent="0.25">
      <c r="A1500" s="89" t="s">
        <v>195</v>
      </c>
      <c r="B1500" s="89" t="s">
        <v>615</v>
      </c>
      <c r="C1500" s="89">
        <v>136394</v>
      </c>
      <c r="D1500" s="89" t="s">
        <v>666</v>
      </c>
    </row>
    <row r="1501" spans="1:4" x14ac:dyDescent="0.25">
      <c r="A1501" s="89" t="s">
        <v>195</v>
      </c>
      <c r="B1501" s="89" t="s">
        <v>615</v>
      </c>
      <c r="C1501" s="89">
        <v>3686221</v>
      </c>
      <c r="D1501" s="89" t="s">
        <v>663</v>
      </c>
    </row>
    <row r="1502" spans="1:4" x14ac:dyDescent="0.25">
      <c r="A1502" s="89" t="s">
        <v>195</v>
      </c>
      <c r="B1502" s="89" t="s">
        <v>615</v>
      </c>
      <c r="C1502" s="89">
        <v>845487</v>
      </c>
      <c r="D1502" s="89" t="s">
        <v>663</v>
      </c>
    </row>
    <row r="1503" spans="1:4" x14ac:dyDescent="0.25">
      <c r="A1503" s="89" t="s">
        <v>195</v>
      </c>
      <c r="B1503" s="89" t="s">
        <v>615</v>
      </c>
      <c r="C1503" s="89">
        <v>686269.74</v>
      </c>
      <c r="D1503" s="89" t="s">
        <v>666</v>
      </c>
    </row>
    <row r="1504" spans="1:4" x14ac:dyDescent="0.25">
      <c r="A1504" s="89" t="s">
        <v>195</v>
      </c>
      <c r="B1504" s="89" t="s">
        <v>615</v>
      </c>
      <c r="C1504" s="89">
        <v>218894</v>
      </c>
      <c r="D1504" s="89" t="s">
        <v>663</v>
      </c>
    </row>
    <row r="1505" spans="1:4" x14ac:dyDescent="0.25">
      <c r="A1505" s="89" t="s">
        <v>195</v>
      </c>
      <c r="B1505" s="89" t="s">
        <v>615</v>
      </c>
      <c r="C1505" s="89">
        <v>4788502</v>
      </c>
      <c r="D1505" s="89" t="s">
        <v>663</v>
      </c>
    </row>
    <row r="1506" spans="1:4" x14ac:dyDescent="0.25">
      <c r="A1506" s="89" t="s">
        <v>195</v>
      </c>
      <c r="B1506" s="89" t="s">
        <v>615</v>
      </c>
      <c r="C1506" s="89">
        <v>1338359.3700000001</v>
      </c>
      <c r="D1506" s="89" t="s">
        <v>663</v>
      </c>
    </row>
    <row r="1507" spans="1:4" x14ac:dyDescent="0.25">
      <c r="A1507" s="89" t="s">
        <v>195</v>
      </c>
      <c r="B1507" s="89" t="s">
        <v>615</v>
      </c>
      <c r="C1507" s="89">
        <v>4384031</v>
      </c>
      <c r="D1507" s="89" t="s">
        <v>663</v>
      </c>
    </row>
    <row r="1508" spans="1:4" x14ac:dyDescent="0.25">
      <c r="A1508" s="89" t="s">
        <v>195</v>
      </c>
      <c r="B1508" s="89" t="s">
        <v>615</v>
      </c>
      <c r="C1508" s="89">
        <v>1272724</v>
      </c>
      <c r="D1508" s="89" t="s">
        <v>666</v>
      </c>
    </row>
    <row r="1509" spans="1:4" x14ac:dyDescent="0.25">
      <c r="A1509" s="89" t="s">
        <v>195</v>
      </c>
      <c r="B1509" s="89" t="s">
        <v>615</v>
      </c>
      <c r="C1509" s="89">
        <v>111659</v>
      </c>
      <c r="D1509" s="89" t="s">
        <v>666</v>
      </c>
    </row>
    <row r="1510" spans="1:4" x14ac:dyDescent="0.25">
      <c r="A1510" s="89" t="s">
        <v>195</v>
      </c>
      <c r="B1510" s="89" t="s">
        <v>615</v>
      </c>
      <c r="C1510" s="89">
        <v>591937</v>
      </c>
      <c r="D1510" s="89" t="s">
        <v>666</v>
      </c>
    </row>
    <row r="1511" spans="1:4" x14ac:dyDescent="0.25">
      <c r="A1511" s="89" t="s">
        <v>195</v>
      </c>
      <c r="B1511" s="89" t="s">
        <v>615</v>
      </c>
      <c r="C1511" s="89">
        <v>3125733</v>
      </c>
      <c r="D1511" s="89" t="s">
        <v>663</v>
      </c>
    </row>
    <row r="1512" spans="1:4" x14ac:dyDescent="0.25">
      <c r="A1512" s="89" t="s">
        <v>195</v>
      </c>
      <c r="B1512" s="89" t="s">
        <v>615</v>
      </c>
      <c r="C1512" s="89">
        <v>125962</v>
      </c>
      <c r="D1512" s="89" t="s">
        <v>664</v>
      </c>
    </row>
    <row r="1513" spans="1:4" x14ac:dyDescent="0.25">
      <c r="A1513" s="89" t="s">
        <v>195</v>
      </c>
      <c r="B1513" s="89" t="s">
        <v>615</v>
      </c>
      <c r="C1513" s="89">
        <v>250835</v>
      </c>
      <c r="D1513" s="89" t="s">
        <v>664</v>
      </c>
    </row>
    <row r="1514" spans="1:4" x14ac:dyDescent="0.25">
      <c r="A1514" s="89" t="s">
        <v>195</v>
      </c>
      <c r="B1514" s="89" t="s">
        <v>615</v>
      </c>
      <c r="C1514" s="89">
        <v>953453.57</v>
      </c>
      <c r="D1514" s="89" t="s">
        <v>666</v>
      </c>
    </row>
    <row r="1515" spans="1:4" x14ac:dyDescent="0.25">
      <c r="A1515" s="89" t="s">
        <v>195</v>
      </c>
      <c r="B1515" s="89" t="s">
        <v>615</v>
      </c>
      <c r="C1515" s="89">
        <v>480033</v>
      </c>
      <c r="D1515" s="89" t="s">
        <v>666</v>
      </c>
    </row>
    <row r="1516" spans="1:4" x14ac:dyDescent="0.25">
      <c r="A1516" s="89" t="s">
        <v>195</v>
      </c>
      <c r="B1516" s="89" t="s">
        <v>615</v>
      </c>
      <c r="C1516" s="89">
        <v>1836404.68</v>
      </c>
      <c r="D1516" s="89" t="s">
        <v>663</v>
      </c>
    </row>
    <row r="1517" spans="1:4" x14ac:dyDescent="0.25">
      <c r="A1517" s="89" t="s">
        <v>195</v>
      </c>
      <c r="B1517" s="89" t="s">
        <v>615</v>
      </c>
      <c r="C1517" s="89">
        <v>658000</v>
      </c>
      <c r="D1517" s="89" t="s">
        <v>666</v>
      </c>
    </row>
    <row r="1518" spans="1:4" x14ac:dyDescent="0.25">
      <c r="A1518" s="89" t="s">
        <v>195</v>
      </c>
      <c r="B1518" s="89" t="s">
        <v>615</v>
      </c>
      <c r="C1518" s="89">
        <v>422079.23</v>
      </c>
      <c r="D1518" s="89" t="s">
        <v>663</v>
      </c>
    </row>
    <row r="1519" spans="1:4" x14ac:dyDescent="0.25">
      <c r="A1519" s="89" t="s">
        <v>195</v>
      </c>
      <c r="B1519" s="89" t="s">
        <v>615</v>
      </c>
      <c r="C1519" s="89">
        <v>2273740</v>
      </c>
      <c r="D1519" s="89" t="s">
        <v>663</v>
      </c>
    </row>
    <row r="1520" spans="1:4" x14ac:dyDescent="0.25">
      <c r="A1520" s="89" t="s">
        <v>195</v>
      </c>
      <c r="B1520" s="89" t="s">
        <v>615</v>
      </c>
      <c r="C1520" s="89">
        <v>1454342</v>
      </c>
      <c r="D1520" s="89" t="s">
        <v>663</v>
      </c>
    </row>
    <row r="1521" spans="1:4" x14ac:dyDescent="0.25">
      <c r="A1521" s="89" t="s">
        <v>195</v>
      </c>
      <c r="B1521" s="89" t="s">
        <v>615</v>
      </c>
      <c r="C1521" s="89">
        <v>267688</v>
      </c>
      <c r="D1521" s="89" t="s">
        <v>664</v>
      </c>
    </row>
    <row r="1522" spans="1:4" x14ac:dyDescent="0.25">
      <c r="A1522" s="89" t="s">
        <v>195</v>
      </c>
      <c r="B1522" s="89" t="s">
        <v>615</v>
      </c>
      <c r="C1522" s="89">
        <v>7731846</v>
      </c>
      <c r="D1522" s="89" t="s">
        <v>663</v>
      </c>
    </row>
    <row r="1523" spans="1:4" x14ac:dyDescent="0.25">
      <c r="A1523" s="89" t="s">
        <v>195</v>
      </c>
      <c r="B1523" s="89" t="s">
        <v>615</v>
      </c>
      <c r="C1523" s="89">
        <v>295965</v>
      </c>
      <c r="D1523" s="89" t="s">
        <v>666</v>
      </c>
    </row>
    <row r="1524" spans="1:4" x14ac:dyDescent="0.25">
      <c r="A1524" s="89" t="s">
        <v>195</v>
      </c>
      <c r="B1524" s="89" t="s">
        <v>615</v>
      </c>
      <c r="C1524" s="89">
        <v>100000</v>
      </c>
      <c r="D1524" s="89" t="s">
        <v>666</v>
      </c>
    </row>
    <row r="1525" spans="1:4" x14ac:dyDescent="0.25">
      <c r="A1525" s="89" t="s">
        <v>195</v>
      </c>
      <c r="B1525" s="89" t="s">
        <v>615</v>
      </c>
      <c r="C1525" s="89">
        <v>341862</v>
      </c>
      <c r="D1525" s="89" t="s">
        <v>664</v>
      </c>
    </row>
    <row r="1526" spans="1:4" x14ac:dyDescent="0.25">
      <c r="A1526" s="89" t="s">
        <v>195</v>
      </c>
      <c r="B1526" s="89" t="s">
        <v>615</v>
      </c>
      <c r="C1526" s="89">
        <v>201631</v>
      </c>
      <c r="D1526" s="89" t="s">
        <v>664</v>
      </c>
    </row>
    <row r="1527" spans="1:4" x14ac:dyDescent="0.25">
      <c r="A1527" s="89" t="s">
        <v>195</v>
      </c>
      <c r="B1527" s="89" t="s">
        <v>615</v>
      </c>
      <c r="C1527" s="89">
        <v>171502</v>
      </c>
      <c r="D1527" s="89" t="s">
        <v>664</v>
      </c>
    </row>
    <row r="1528" spans="1:4" x14ac:dyDescent="0.25">
      <c r="A1528" s="89" t="s">
        <v>195</v>
      </c>
      <c r="B1528" s="89" t="s">
        <v>615</v>
      </c>
      <c r="C1528" s="89">
        <v>224800.11</v>
      </c>
      <c r="D1528" s="89" t="s">
        <v>664</v>
      </c>
    </row>
    <row r="1529" spans="1:4" x14ac:dyDescent="0.25">
      <c r="A1529" s="89" t="s">
        <v>195</v>
      </c>
      <c r="B1529" s="89" t="s">
        <v>615</v>
      </c>
      <c r="C1529" s="89">
        <v>439321</v>
      </c>
      <c r="D1529" s="89" t="s">
        <v>664</v>
      </c>
    </row>
    <row r="1530" spans="1:4" x14ac:dyDescent="0.25">
      <c r="A1530" s="89" t="s">
        <v>195</v>
      </c>
      <c r="B1530" s="89" t="s">
        <v>615</v>
      </c>
      <c r="C1530" s="89">
        <v>36834</v>
      </c>
      <c r="D1530" s="89" t="s">
        <v>664</v>
      </c>
    </row>
    <row r="1531" spans="1:4" x14ac:dyDescent="0.25">
      <c r="A1531" s="89" t="s">
        <v>195</v>
      </c>
      <c r="B1531" s="89" t="s">
        <v>615</v>
      </c>
      <c r="C1531" s="89">
        <v>-8461.6</v>
      </c>
      <c r="D1531" s="89" t="s">
        <v>666</v>
      </c>
    </row>
    <row r="1532" spans="1:4" x14ac:dyDescent="0.25">
      <c r="A1532" s="89" t="s">
        <v>195</v>
      </c>
      <c r="B1532" s="89" t="s">
        <v>615</v>
      </c>
      <c r="C1532" s="89">
        <v>286859.48</v>
      </c>
      <c r="D1532" s="89" t="s">
        <v>664</v>
      </c>
    </row>
    <row r="1533" spans="1:4" x14ac:dyDescent="0.25">
      <c r="A1533" s="89" t="s">
        <v>195</v>
      </c>
      <c r="B1533" s="89" t="s">
        <v>615</v>
      </c>
      <c r="C1533" s="89">
        <v>1751634.26</v>
      </c>
      <c r="D1533" s="89" t="s">
        <v>666</v>
      </c>
    </row>
    <row r="1534" spans="1:4" x14ac:dyDescent="0.25">
      <c r="A1534" s="89" t="s">
        <v>195</v>
      </c>
      <c r="B1534" s="89" t="s">
        <v>615</v>
      </c>
      <c r="C1534" s="89">
        <v>50000</v>
      </c>
      <c r="D1534" s="89" t="s">
        <v>666</v>
      </c>
    </row>
    <row r="1535" spans="1:4" x14ac:dyDescent="0.25">
      <c r="A1535" s="89" t="s">
        <v>195</v>
      </c>
      <c r="B1535" s="89" t="s">
        <v>615</v>
      </c>
      <c r="C1535" s="89">
        <v>9810562</v>
      </c>
      <c r="D1535" s="89" t="s">
        <v>663</v>
      </c>
    </row>
    <row r="1536" spans="1:4" x14ac:dyDescent="0.25">
      <c r="A1536" s="89" t="s">
        <v>195</v>
      </c>
      <c r="B1536" s="89" t="s">
        <v>615</v>
      </c>
      <c r="C1536" s="89">
        <v>1491319</v>
      </c>
      <c r="D1536" s="89" t="s">
        <v>663</v>
      </c>
    </row>
    <row r="1537" spans="1:4" x14ac:dyDescent="0.25">
      <c r="A1537" s="89" t="s">
        <v>195</v>
      </c>
      <c r="B1537" s="89" t="s">
        <v>615</v>
      </c>
      <c r="C1537" s="89">
        <v>317748</v>
      </c>
      <c r="D1537" s="89" t="s">
        <v>666</v>
      </c>
    </row>
    <row r="1538" spans="1:4" x14ac:dyDescent="0.25">
      <c r="A1538" s="89" t="s">
        <v>195</v>
      </c>
      <c r="B1538" s="89" t="s">
        <v>615</v>
      </c>
      <c r="C1538" s="89">
        <v>233825</v>
      </c>
      <c r="D1538" s="89" t="s">
        <v>666</v>
      </c>
    </row>
    <row r="1539" spans="1:4" x14ac:dyDescent="0.25">
      <c r="A1539" s="89" t="s">
        <v>195</v>
      </c>
      <c r="B1539" s="89" t="s">
        <v>615</v>
      </c>
      <c r="C1539" s="89">
        <v>1170553</v>
      </c>
      <c r="D1539" s="89" t="s">
        <v>663</v>
      </c>
    </row>
    <row r="1540" spans="1:4" x14ac:dyDescent="0.25">
      <c r="A1540" s="89" t="s">
        <v>195</v>
      </c>
      <c r="B1540" s="89" t="s">
        <v>615</v>
      </c>
      <c r="C1540" s="89">
        <v>445181</v>
      </c>
      <c r="D1540" s="89" t="s">
        <v>666</v>
      </c>
    </row>
    <row r="1541" spans="1:4" x14ac:dyDescent="0.25">
      <c r="A1541" s="89" t="s">
        <v>51</v>
      </c>
      <c r="B1541" s="89" t="s">
        <v>615</v>
      </c>
      <c r="C1541" s="89">
        <v>553445</v>
      </c>
      <c r="D1541" s="89" t="s">
        <v>663</v>
      </c>
    </row>
    <row r="1542" spans="1:4" x14ac:dyDescent="0.25">
      <c r="A1542" s="89" t="s">
        <v>51</v>
      </c>
      <c r="B1542" s="89" t="s">
        <v>615</v>
      </c>
      <c r="C1542" s="89">
        <v>414543</v>
      </c>
      <c r="D1542" s="89" t="s">
        <v>663</v>
      </c>
    </row>
    <row r="1543" spans="1:4" x14ac:dyDescent="0.25">
      <c r="A1543" s="89" t="s">
        <v>51</v>
      </c>
      <c r="B1543" s="89" t="s">
        <v>615</v>
      </c>
      <c r="C1543" s="89">
        <v>73000</v>
      </c>
      <c r="D1543" s="89" t="s">
        <v>663</v>
      </c>
    </row>
    <row r="1544" spans="1:4" x14ac:dyDescent="0.25">
      <c r="A1544" s="89" t="s">
        <v>51</v>
      </c>
      <c r="B1544" s="89" t="s">
        <v>615</v>
      </c>
      <c r="C1544" s="89">
        <v>812960</v>
      </c>
      <c r="D1544" s="89" t="s">
        <v>663</v>
      </c>
    </row>
    <row r="1545" spans="1:4" x14ac:dyDescent="0.25">
      <c r="A1545" s="89" t="s">
        <v>51</v>
      </c>
      <c r="B1545" s="89" t="s">
        <v>615</v>
      </c>
      <c r="C1545" s="89">
        <v>276734</v>
      </c>
      <c r="D1545" s="89" t="s">
        <v>663</v>
      </c>
    </row>
    <row r="1546" spans="1:4" x14ac:dyDescent="0.25">
      <c r="A1546" s="89" t="s">
        <v>51</v>
      </c>
      <c r="B1546" s="89" t="s">
        <v>615</v>
      </c>
      <c r="C1546" s="89">
        <v>139774</v>
      </c>
      <c r="D1546" s="89" t="s">
        <v>663</v>
      </c>
    </row>
    <row r="1547" spans="1:4" x14ac:dyDescent="0.25">
      <c r="A1547" s="89" t="s">
        <v>51</v>
      </c>
      <c r="B1547" s="89" t="s">
        <v>615</v>
      </c>
      <c r="C1547" s="89">
        <v>652875</v>
      </c>
      <c r="D1547" s="89" t="s">
        <v>666</v>
      </c>
    </row>
    <row r="1548" spans="1:4" x14ac:dyDescent="0.25">
      <c r="A1548" s="89" t="s">
        <v>51</v>
      </c>
      <c r="B1548" s="89" t="s">
        <v>615</v>
      </c>
      <c r="C1548" s="89">
        <v>333898</v>
      </c>
      <c r="D1548" s="89" t="s">
        <v>663</v>
      </c>
    </row>
    <row r="1549" spans="1:4" x14ac:dyDescent="0.25">
      <c r="A1549" s="89" t="s">
        <v>51</v>
      </c>
      <c r="B1549" s="89" t="s">
        <v>615</v>
      </c>
      <c r="C1549" s="89">
        <v>862420</v>
      </c>
      <c r="D1549" s="89" t="s">
        <v>666</v>
      </c>
    </row>
    <row r="1550" spans="1:4" x14ac:dyDescent="0.25">
      <c r="A1550" s="89" t="s">
        <v>51</v>
      </c>
      <c r="B1550" s="89" t="s">
        <v>615</v>
      </c>
      <c r="C1550" s="89">
        <v>604456</v>
      </c>
      <c r="D1550" s="89" t="s">
        <v>663</v>
      </c>
    </row>
    <row r="1551" spans="1:4" x14ac:dyDescent="0.25">
      <c r="A1551" s="89" t="s">
        <v>51</v>
      </c>
      <c r="B1551" s="89" t="s">
        <v>615</v>
      </c>
      <c r="C1551" s="89">
        <v>6788</v>
      </c>
      <c r="D1551" s="89" t="s">
        <v>663</v>
      </c>
    </row>
    <row r="1552" spans="1:4" x14ac:dyDescent="0.25">
      <c r="A1552" s="89" t="s">
        <v>51</v>
      </c>
      <c r="B1552" s="89" t="s">
        <v>615</v>
      </c>
      <c r="C1552" s="89">
        <v>771440</v>
      </c>
      <c r="D1552" s="89" t="s">
        <v>664</v>
      </c>
    </row>
    <row r="1553" spans="1:4" x14ac:dyDescent="0.25">
      <c r="A1553" s="89" t="s">
        <v>51</v>
      </c>
      <c r="B1553" s="89" t="s">
        <v>615</v>
      </c>
      <c r="C1553" s="89">
        <v>2128372</v>
      </c>
      <c r="D1553" s="89" t="s">
        <v>666</v>
      </c>
    </row>
    <row r="1554" spans="1:4" x14ac:dyDescent="0.25">
      <c r="A1554" s="89" t="s">
        <v>51</v>
      </c>
      <c r="B1554" s="89" t="s">
        <v>615</v>
      </c>
      <c r="C1554" s="89">
        <v>267132</v>
      </c>
      <c r="D1554" s="89" t="s">
        <v>666</v>
      </c>
    </row>
    <row r="1555" spans="1:4" x14ac:dyDescent="0.25">
      <c r="A1555" s="89" t="s">
        <v>51</v>
      </c>
      <c r="B1555" s="89" t="s">
        <v>615</v>
      </c>
      <c r="C1555" s="89">
        <v>88176</v>
      </c>
      <c r="D1555" s="89" t="s">
        <v>663</v>
      </c>
    </row>
    <row r="1556" spans="1:4" x14ac:dyDescent="0.25">
      <c r="A1556" s="89" t="s">
        <v>51</v>
      </c>
      <c r="B1556" s="89" t="s">
        <v>615</v>
      </c>
      <c r="C1556" s="89">
        <v>96606</v>
      </c>
      <c r="D1556" s="89" t="s">
        <v>663</v>
      </c>
    </row>
    <row r="1557" spans="1:4" x14ac:dyDescent="0.25">
      <c r="A1557" s="89" t="s">
        <v>51</v>
      </c>
      <c r="B1557" s="89" t="s">
        <v>615</v>
      </c>
      <c r="C1557" s="89">
        <v>-11179.67</v>
      </c>
      <c r="D1557" s="89" t="s">
        <v>663</v>
      </c>
    </row>
    <row r="1558" spans="1:4" x14ac:dyDescent="0.25">
      <c r="A1558" s="89" t="s">
        <v>51</v>
      </c>
      <c r="B1558" s="89" t="s">
        <v>615</v>
      </c>
      <c r="C1558" s="89">
        <v>433034</v>
      </c>
      <c r="D1558" s="89" t="s">
        <v>663</v>
      </c>
    </row>
    <row r="1559" spans="1:4" x14ac:dyDescent="0.25">
      <c r="A1559" s="89" t="s">
        <v>51</v>
      </c>
      <c r="B1559" s="89" t="s">
        <v>615</v>
      </c>
      <c r="C1559" s="89">
        <v>1301042</v>
      </c>
      <c r="D1559" s="89" t="s">
        <v>666</v>
      </c>
    </row>
    <row r="1560" spans="1:4" x14ac:dyDescent="0.25">
      <c r="A1560" s="89" t="s">
        <v>51</v>
      </c>
      <c r="B1560" s="89" t="s">
        <v>615</v>
      </c>
      <c r="C1560" s="89">
        <v>73712</v>
      </c>
      <c r="D1560" s="89" t="s">
        <v>663</v>
      </c>
    </row>
    <row r="1561" spans="1:4" x14ac:dyDescent="0.25">
      <c r="A1561" s="89" t="s">
        <v>51</v>
      </c>
      <c r="B1561" s="89" t="s">
        <v>615</v>
      </c>
      <c r="C1561" s="89">
        <v>1108349</v>
      </c>
      <c r="D1561" s="89" t="s">
        <v>663</v>
      </c>
    </row>
    <row r="1562" spans="1:4" x14ac:dyDescent="0.25">
      <c r="A1562" s="89" t="s">
        <v>51</v>
      </c>
      <c r="B1562" s="89" t="s">
        <v>615</v>
      </c>
      <c r="C1562" s="89">
        <v>1899390</v>
      </c>
      <c r="D1562" s="89" t="s">
        <v>666</v>
      </c>
    </row>
    <row r="1563" spans="1:4" x14ac:dyDescent="0.25">
      <c r="A1563" s="89" t="s">
        <v>51</v>
      </c>
      <c r="B1563" s="89" t="s">
        <v>615</v>
      </c>
      <c r="C1563" s="89">
        <v>1112284.02</v>
      </c>
      <c r="D1563" s="89" t="s">
        <v>663</v>
      </c>
    </row>
    <row r="1564" spans="1:4" x14ac:dyDescent="0.25">
      <c r="A1564" s="89" t="s">
        <v>51</v>
      </c>
      <c r="B1564" s="89" t="s">
        <v>615</v>
      </c>
      <c r="C1564" s="89">
        <v>770008</v>
      </c>
      <c r="D1564" s="89" t="s">
        <v>666</v>
      </c>
    </row>
    <row r="1565" spans="1:4" x14ac:dyDescent="0.25">
      <c r="A1565" s="89" t="s">
        <v>51</v>
      </c>
      <c r="B1565" s="89" t="s">
        <v>615</v>
      </c>
      <c r="C1565" s="89">
        <v>956717</v>
      </c>
      <c r="D1565" s="89" t="s">
        <v>663</v>
      </c>
    </row>
    <row r="1566" spans="1:4" x14ac:dyDescent="0.25">
      <c r="A1566" s="89" t="s">
        <v>51</v>
      </c>
      <c r="B1566" s="89" t="s">
        <v>615</v>
      </c>
      <c r="C1566" s="89">
        <v>1196440</v>
      </c>
      <c r="D1566" s="89" t="s">
        <v>666</v>
      </c>
    </row>
    <row r="1567" spans="1:4" x14ac:dyDescent="0.25">
      <c r="A1567" s="89" t="s">
        <v>51</v>
      </c>
      <c r="B1567" s="89" t="s">
        <v>615</v>
      </c>
      <c r="C1567" s="89">
        <v>948493</v>
      </c>
      <c r="D1567" s="89" t="s">
        <v>666</v>
      </c>
    </row>
    <row r="1568" spans="1:4" x14ac:dyDescent="0.25">
      <c r="A1568" s="89" t="s">
        <v>51</v>
      </c>
      <c r="B1568" s="89" t="s">
        <v>615</v>
      </c>
      <c r="C1568" s="89">
        <v>496979</v>
      </c>
      <c r="D1568" s="89" t="s">
        <v>663</v>
      </c>
    </row>
    <row r="1569" spans="1:4" x14ac:dyDescent="0.25">
      <c r="A1569" s="89" t="s">
        <v>51</v>
      </c>
      <c r="B1569" s="89" t="s">
        <v>615</v>
      </c>
      <c r="C1569" s="89">
        <v>739070</v>
      </c>
      <c r="D1569" s="89" t="s">
        <v>663</v>
      </c>
    </row>
    <row r="1570" spans="1:4" x14ac:dyDescent="0.25">
      <c r="A1570" s="89" t="s">
        <v>51</v>
      </c>
      <c r="B1570" s="89" t="s">
        <v>615</v>
      </c>
      <c r="C1570" s="89">
        <v>681583.47</v>
      </c>
      <c r="D1570" s="89" t="s">
        <v>663</v>
      </c>
    </row>
    <row r="1571" spans="1:4" x14ac:dyDescent="0.25">
      <c r="A1571" s="89" t="s">
        <v>51</v>
      </c>
      <c r="B1571" s="89" t="s">
        <v>615</v>
      </c>
      <c r="C1571" s="89">
        <v>3419709</v>
      </c>
      <c r="D1571" s="89" t="s">
        <v>666</v>
      </c>
    </row>
    <row r="1572" spans="1:4" x14ac:dyDescent="0.25">
      <c r="A1572" s="89" t="s">
        <v>51</v>
      </c>
      <c r="B1572" s="89" t="s">
        <v>615</v>
      </c>
      <c r="C1572" s="89">
        <v>399492</v>
      </c>
      <c r="D1572" s="89" t="s">
        <v>663</v>
      </c>
    </row>
    <row r="1573" spans="1:4" x14ac:dyDescent="0.25">
      <c r="A1573" s="89" t="s">
        <v>51</v>
      </c>
      <c r="B1573" s="89" t="s">
        <v>615</v>
      </c>
      <c r="C1573" s="89">
        <v>184996</v>
      </c>
      <c r="D1573" s="89" t="s">
        <v>663</v>
      </c>
    </row>
    <row r="1574" spans="1:4" x14ac:dyDescent="0.25">
      <c r="A1574" s="89" t="s">
        <v>51</v>
      </c>
      <c r="B1574" s="89" t="s">
        <v>615</v>
      </c>
      <c r="C1574" s="89">
        <v>513823</v>
      </c>
      <c r="D1574" s="89" t="s">
        <v>666</v>
      </c>
    </row>
    <row r="1575" spans="1:4" x14ac:dyDescent="0.25">
      <c r="A1575" s="89" t="s">
        <v>51</v>
      </c>
      <c r="B1575" s="89" t="s">
        <v>615</v>
      </c>
      <c r="C1575" s="89">
        <v>323890</v>
      </c>
      <c r="D1575" s="89" t="s">
        <v>663</v>
      </c>
    </row>
    <row r="1576" spans="1:4" x14ac:dyDescent="0.25">
      <c r="A1576" s="89" t="s">
        <v>51</v>
      </c>
      <c r="B1576" s="89" t="s">
        <v>615</v>
      </c>
      <c r="C1576" s="89">
        <v>310010</v>
      </c>
      <c r="D1576" s="89" t="s">
        <v>666</v>
      </c>
    </row>
    <row r="1577" spans="1:4" x14ac:dyDescent="0.25">
      <c r="A1577" s="89" t="s">
        <v>51</v>
      </c>
      <c r="B1577" s="89" t="s">
        <v>615</v>
      </c>
      <c r="C1577" s="89">
        <v>158152</v>
      </c>
      <c r="D1577" s="89" t="s">
        <v>663</v>
      </c>
    </row>
    <row r="1578" spans="1:4" x14ac:dyDescent="0.25">
      <c r="A1578" s="89" t="s">
        <v>51</v>
      </c>
      <c r="B1578" s="89" t="s">
        <v>615</v>
      </c>
      <c r="C1578" s="89">
        <v>246987</v>
      </c>
      <c r="D1578" s="89" t="s">
        <v>663</v>
      </c>
    </row>
    <row r="1579" spans="1:4" x14ac:dyDescent="0.25">
      <c r="A1579" s="89" t="s">
        <v>51</v>
      </c>
      <c r="B1579" s="89" t="s">
        <v>615</v>
      </c>
      <c r="C1579" s="89">
        <v>376880</v>
      </c>
      <c r="D1579" s="89" t="s">
        <v>663</v>
      </c>
    </row>
    <row r="1580" spans="1:4" x14ac:dyDescent="0.25">
      <c r="A1580" s="89" t="s">
        <v>51</v>
      </c>
      <c r="B1580" s="89" t="s">
        <v>615</v>
      </c>
      <c r="C1580" s="89">
        <v>847369</v>
      </c>
      <c r="D1580" s="89" t="s">
        <v>663</v>
      </c>
    </row>
    <row r="1581" spans="1:4" x14ac:dyDescent="0.25">
      <c r="A1581" s="89" t="s">
        <v>51</v>
      </c>
      <c r="B1581" s="89" t="s">
        <v>615</v>
      </c>
      <c r="C1581" s="89">
        <v>645878</v>
      </c>
      <c r="D1581" s="89" t="s">
        <v>666</v>
      </c>
    </row>
    <row r="1582" spans="1:4" x14ac:dyDescent="0.25">
      <c r="A1582" s="89" t="s">
        <v>51</v>
      </c>
      <c r="B1582" s="89" t="s">
        <v>615</v>
      </c>
      <c r="C1582" s="89">
        <v>997570</v>
      </c>
      <c r="D1582" s="89" t="s">
        <v>664</v>
      </c>
    </row>
    <row r="1583" spans="1:4" x14ac:dyDescent="0.25">
      <c r="A1583" s="89" t="s">
        <v>51</v>
      </c>
      <c r="B1583" s="89" t="s">
        <v>615</v>
      </c>
      <c r="C1583" s="89">
        <v>971797</v>
      </c>
      <c r="D1583" s="89" t="s">
        <v>666</v>
      </c>
    </row>
    <row r="1584" spans="1:4" x14ac:dyDescent="0.25">
      <c r="A1584" s="89" t="s">
        <v>51</v>
      </c>
      <c r="B1584" s="89" t="s">
        <v>615</v>
      </c>
      <c r="C1584" s="89">
        <v>234028</v>
      </c>
      <c r="D1584" s="89" t="s">
        <v>663</v>
      </c>
    </row>
    <row r="1585" spans="1:4" x14ac:dyDescent="0.25">
      <c r="A1585" s="89" t="s">
        <v>51</v>
      </c>
      <c r="B1585" s="89" t="s">
        <v>615</v>
      </c>
      <c r="C1585" s="89">
        <v>68853</v>
      </c>
      <c r="D1585" s="89" t="s">
        <v>663</v>
      </c>
    </row>
    <row r="1586" spans="1:4" x14ac:dyDescent="0.25">
      <c r="A1586" s="89" t="s">
        <v>51</v>
      </c>
      <c r="B1586" s="89" t="s">
        <v>615</v>
      </c>
      <c r="C1586" s="89">
        <v>609591</v>
      </c>
      <c r="D1586" s="89" t="s">
        <v>663</v>
      </c>
    </row>
    <row r="1587" spans="1:4" x14ac:dyDescent="0.25">
      <c r="A1587" s="89" t="s">
        <v>51</v>
      </c>
      <c r="B1587" s="89" t="s">
        <v>615</v>
      </c>
      <c r="C1587" s="89">
        <v>236003</v>
      </c>
      <c r="D1587" s="89" t="s">
        <v>663</v>
      </c>
    </row>
    <row r="1588" spans="1:4" x14ac:dyDescent="0.25">
      <c r="A1588" s="89" t="s">
        <v>51</v>
      </c>
      <c r="B1588" s="89" t="s">
        <v>615</v>
      </c>
      <c r="C1588" s="89">
        <v>814778.86</v>
      </c>
      <c r="D1588" s="89" t="s">
        <v>663</v>
      </c>
    </row>
    <row r="1589" spans="1:4" x14ac:dyDescent="0.25">
      <c r="A1589" s="89" t="s">
        <v>51</v>
      </c>
      <c r="B1589" s="89" t="s">
        <v>615</v>
      </c>
      <c r="C1589" s="89">
        <v>606847</v>
      </c>
      <c r="D1589" s="89" t="s">
        <v>663</v>
      </c>
    </row>
    <row r="1590" spans="1:4" x14ac:dyDescent="0.25">
      <c r="A1590" s="89" t="s">
        <v>51</v>
      </c>
      <c r="B1590" s="89" t="s">
        <v>615</v>
      </c>
      <c r="C1590" s="89">
        <v>448048</v>
      </c>
      <c r="D1590" s="89" t="s">
        <v>664</v>
      </c>
    </row>
    <row r="1591" spans="1:4" x14ac:dyDescent="0.25">
      <c r="A1591" s="89" t="s">
        <v>51</v>
      </c>
      <c r="B1591" s="89" t="s">
        <v>615</v>
      </c>
      <c r="C1591" s="89">
        <v>1451271</v>
      </c>
      <c r="D1591" s="89" t="s">
        <v>666</v>
      </c>
    </row>
    <row r="1592" spans="1:4" x14ac:dyDescent="0.25">
      <c r="A1592" s="89" t="s">
        <v>51</v>
      </c>
      <c r="B1592" s="89" t="s">
        <v>615</v>
      </c>
      <c r="C1592" s="89">
        <v>2260623</v>
      </c>
      <c r="D1592" s="89" t="s">
        <v>663</v>
      </c>
    </row>
    <row r="1593" spans="1:4" x14ac:dyDescent="0.25">
      <c r="A1593" s="89" t="s">
        <v>51</v>
      </c>
      <c r="B1593" s="89" t="s">
        <v>615</v>
      </c>
      <c r="C1593" s="89">
        <v>415613</v>
      </c>
      <c r="D1593" s="89" t="s">
        <v>663</v>
      </c>
    </row>
    <row r="1594" spans="1:4" x14ac:dyDescent="0.25">
      <c r="A1594" s="89" t="s">
        <v>51</v>
      </c>
      <c r="B1594" s="89" t="s">
        <v>615</v>
      </c>
      <c r="C1594" s="89">
        <v>494589</v>
      </c>
      <c r="D1594" s="89" t="s">
        <v>663</v>
      </c>
    </row>
    <row r="1595" spans="1:4" x14ac:dyDescent="0.25">
      <c r="A1595" s="89" t="s">
        <v>51</v>
      </c>
      <c r="B1595" s="89" t="s">
        <v>615</v>
      </c>
      <c r="C1595" s="89">
        <v>281309</v>
      </c>
      <c r="D1595" s="89" t="s">
        <v>666</v>
      </c>
    </row>
    <row r="1596" spans="1:4" x14ac:dyDescent="0.25">
      <c r="A1596" s="89" t="s">
        <v>51</v>
      </c>
      <c r="B1596" s="89" t="s">
        <v>615</v>
      </c>
      <c r="C1596" s="89">
        <v>937222</v>
      </c>
      <c r="D1596" s="89" t="s">
        <v>664</v>
      </c>
    </row>
    <row r="1597" spans="1:4" x14ac:dyDescent="0.25">
      <c r="A1597" s="89" t="s">
        <v>51</v>
      </c>
      <c r="B1597" s="89" t="s">
        <v>615</v>
      </c>
      <c r="C1597" s="89">
        <v>100000</v>
      </c>
      <c r="D1597" s="89" t="s">
        <v>666</v>
      </c>
    </row>
    <row r="1598" spans="1:4" x14ac:dyDescent="0.25">
      <c r="A1598" s="89" t="s">
        <v>51</v>
      </c>
      <c r="B1598" s="89" t="s">
        <v>615</v>
      </c>
      <c r="C1598" s="89">
        <v>265311</v>
      </c>
      <c r="D1598" s="89" t="s">
        <v>666</v>
      </c>
    </row>
    <row r="1599" spans="1:4" x14ac:dyDescent="0.25">
      <c r="A1599" s="89" t="s">
        <v>51</v>
      </c>
      <c r="B1599" s="89" t="s">
        <v>615</v>
      </c>
      <c r="C1599" s="89">
        <v>50000</v>
      </c>
      <c r="D1599" s="89" t="s">
        <v>666</v>
      </c>
    </row>
    <row r="1600" spans="1:4" x14ac:dyDescent="0.25">
      <c r="A1600" s="89" t="s">
        <v>51</v>
      </c>
      <c r="B1600" s="89" t="s">
        <v>615</v>
      </c>
      <c r="C1600" s="89">
        <v>310213</v>
      </c>
      <c r="D1600" s="89" t="s">
        <v>664</v>
      </c>
    </row>
    <row r="1601" spans="1:4" x14ac:dyDescent="0.25">
      <c r="A1601" s="89" t="s">
        <v>51</v>
      </c>
      <c r="B1601" s="89" t="s">
        <v>615</v>
      </c>
      <c r="C1601" s="89">
        <v>173770</v>
      </c>
      <c r="D1601" s="89" t="s">
        <v>664</v>
      </c>
    </row>
    <row r="1602" spans="1:4" x14ac:dyDescent="0.25">
      <c r="A1602" s="89" t="s">
        <v>194</v>
      </c>
      <c r="B1602" s="89" t="s">
        <v>616</v>
      </c>
      <c r="C1602" s="89">
        <v>1156232.8500000001</v>
      </c>
      <c r="D1602" s="89" t="s">
        <v>666</v>
      </c>
    </row>
    <row r="1603" spans="1:4" x14ac:dyDescent="0.25">
      <c r="A1603" s="89" t="s">
        <v>194</v>
      </c>
      <c r="B1603" s="89" t="s">
        <v>616</v>
      </c>
      <c r="C1603" s="89">
        <v>914529</v>
      </c>
      <c r="D1603" s="89" t="s">
        <v>666</v>
      </c>
    </row>
    <row r="1604" spans="1:4" x14ac:dyDescent="0.25">
      <c r="A1604" s="89" t="s">
        <v>194</v>
      </c>
      <c r="B1604" s="89" t="s">
        <v>616</v>
      </c>
      <c r="C1604" s="89">
        <v>55345.15</v>
      </c>
      <c r="D1604" s="89" t="s">
        <v>666</v>
      </c>
    </row>
    <row r="1605" spans="1:4" x14ac:dyDescent="0.25">
      <c r="A1605" s="89" t="s">
        <v>194</v>
      </c>
      <c r="B1605" s="89" t="s">
        <v>616</v>
      </c>
      <c r="C1605" s="89">
        <v>354112</v>
      </c>
      <c r="D1605" s="89" t="s">
        <v>666</v>
      </c>
    </row>
    <row r="1606" spans="1:4" x14ac:dyDescent="0.25">
      <c r="A1606" s="89" t="s">
        <v>194</v>
      </c>
      <c r="B1606" s="89" t="s">
        <v>616</v>
      </c>
      <c r="C1606" s="89">
        <v>92577</v>
      </c>
      <c r="D1606" s="89" t="s">
        <v>666</v>
      </c>
    </row>
    <row r="1607" spans="1:4" x14ac:dyDescent="0.25">
      <c r="A1607" s="89" t="s">
        <v>194</v>
      </c>
      <c r="B1607" s="89" t="s">
        <v>616</v>
      </c>
      <c r="C1607" s="89">
        <v>466555</v>
      </c>
      <c r="D1607" s="89" t="s">
        <v>666</v>
      </c>
    </row>
    <row r="1608" spans="1:4" x14ac:dyDescent="0.25">
      <c r="A1608" s="89" t="s">
        <v>194</v>
      </c>
      <c r="B1608" s="89" t="s">
        <v>616</v>
      </c>
      <c r="C1608" s="89">
        <v>259610.45</v>
      </c>
      <c r="D1608" s="89" t="s">
        <v>666</v>
      </c>
    </row>
    <row r="1609" spans="1:4" x14ac:dyDescent="0.25">
      <c r="A1609" s="89" t="s">
        <v>194</v>
      </c>
      <c r="B1609" s="89" t="s">
        <v>616</v>
      </c>
      <c r="C1609" s="89">
        <v>558165</v>
      </c>
      <c r="D1609" s="89" t="s">
        <v>663</v>
      </c>
    </row>
    <row r="1610" spans="1:4" x14ac:dyDescent="0.25">
      <c r="A1610" s="89" t="s">
        <v>194</v>
      </c>
      <c r="B1610" s="89" t="s">
        <v>616</v>
      </c>
      <c r="C1610" s="89">
        <v>1381806</v>
      </c>
      <c r="D1610" s="89" t="s">
        <v>666</v>
      </c>
    </row>
    <row r="1611" spans="1:4" x14ac:dyDescent="0.25">
      <c r="A1611" s="89" t="s">
        <v>194</v>
      </c>
      <c r="B1611" s="89" t="s">
        <v>616</v>
      </c>
      <c r="C1611" s="89">
        <v>1486068</v>
      </c>
      <c r="D1611" s="89" t="s">
        <v>663</v>
      </c>
    </row>
    <row r="1612" spans="1:4" x14ac:dyDescent="0.25">
      <c r="A1612" s="89" t="s">
        <v>194</v>
      </c>
      <c r="B1612" s="89" t="s">
        <v>616</v>
      </c>
      <c r="C1612" s="89">
        <v>305586.65000000002</v>
      </c>
      <c r="D1612" s="89" t="s">
        <v>666</v>
      </c>
    </row>
    <row r="1613" spans="1:4" x14ac:dyDescent="0.25">
      <c r="A1613" s="89" t="s">
        <v>194</v>
      </c>
      <c r="B1613" s="89" t="s">
        <v>616</v>
      </c>
      <c r="C1613" s="89">
        <v>50000</v>
      </c>
      <c r="D1613" s="89" t="s">
        <v>666</v>
      </c>
    </row>
    <row r="1614" spans="1:4" x14ac:dyDescent="0.25">
      <c r="A1614" s="89" t="s">
        <v>194</v>
      </c>
      <c r="B1614" s="89" t="s">
        <v>616</v>
      </c>
      <c r="C1614" s="89">
        <v>1602582</v>
      </c>
      <c r="D1614" s="89" t="s">
        <v>666</v>
      </c>
    </row>
    <row r="1615" spans="1:4" x14ac:dyDescent="0.25">
      <c r="A1615" s="89" t="s">
        <v>194</v>
      </c>
      <c r="B1615" s="89" t="s">
        <v>616</v>
      </c>
      <c r="C1615" s="89">
        <v>404048</v>
      </c>
      <c r="D1615" s="89" t="s">
        <v>666</v>
      </c>
    </row>
    <row r="1616" spans="1:4" x14ac:dyDescent="0.25">
      <c r="A1616" s="89" t="s">
        <v>194</v>
      </c>
      <c r="B1616" s="89" t="s">
        <v>616</v>
      </c>
      <c r="C1616" s="89">
        <v>631140</v>
      </c>
      <c r="D1616" s="89" t="s">
        <v>666</v>
      </c>
    </row>
    <row r="1617" spans="1:4" x14ac:dyDescent="0.25">
      <c r="A1617" s="89" t="s">
        <v>194</v>
      </c>
      <c r="B1617" s="89" t="s">
        <v>616</v>
      </c>
      <c r="C1617" s="89">
        <v>50000</v>
      </c>
      <c r="D1617" s="89" t="s">
        <v>666</v>
      </c>
    </row>
    <row r="1618" spans="1:4" x14ac:dyDescent="0.25">
      <c r="A1618" s="89" t="s">
        <v>194</v>
      </c>
      <c r="B1618" s="89" t="s">
        <v>616</v>
      </c>
      <c r="C1618" s="89">
        <v>699422</v>
      </c>
      <c r="D1618" s="89" t="s">
        <v>663</v>
      </c>
    </row>
    <row r="1619" spans="1:4" x14ac:dyDescent="0.25">
      <c r="A1619" s="89" t="s">
        <v>194</v>
      </c>
      <c r="B1619" s="89" t="s">
        <v>616</v>
      </c>
      <c r="C1619" s="89">
        <v>1346352</v>
      </c>
      <c r="D1619" s="89" t="s">
        <v>666</v>
      </c>
    </row>
    <row r="1620" spans="1:4" x14ac:dyDescent="0.25">
      <c r="A1620" s="89" t="s">
        <v>194</v>
      </c>
      <c r="B1620" s="89" t="s">
        <v>616</v>
      </c>
      <c r="C1620" s="89">
        <v>50000</v>
      </c>
      <c r="D1620" s="89" t="s">
        <v>666</v>
      </c>
    </row>
    <row r="1621" spans="1:4" x14ac:dyDescent="0.25">
      <c r="A1621" s="89" t="s">
        <v>194</v>
      </c>
      <c r="B1621" s="89" t="s">
        <v>616</v>
      </c>
      <c r="C1621" s="89">
        <v>1602481</v>
      </c>
      <c r="D1621" s="89" t="s">
        <v>663</v>
      </c>
    </row>
    <row r="1622" spans="1:4" x14ac:dyDescent="0.25">
      <c r="A1622" s="89" t="s">
        <v>194</v>
      </c>
      <c r="B1622" s="89" t="s">
        <v>616</v>
      </c>
      <c r="C1622" s="89">
        <v>743594</v>
      </c>
      <c r="D1622" s="89" t="s">
        <v>663</v>
      </c>
    </row>
    <row r="1623" spans="1:4" x14ac:dyDescent="0.25">
      <c r="A1623" s="89" t="s">
        <v>194</v>
      </c>
      <c r="B1623" s="89" t="s">
        <v>616</v>
      </c>
      <c r="C1623" s="89">
        <v>262339.78999999998</v>
      </c>
      <c r="D1623" s="89" t="s">
        <v>666</v>
      </c>
    </row>
    <row r="1624" spans="1:4" x14ac:dyDescent="0.25">
      <c r="A1624" s="89" t="s">
        <v>194</v>
      </c>
      <c r="B1624" s="89" t="s">
        <v>616</v>
      </c>
      <c r="C1624" s="89">
        <v>559696</v>
      </c>
      <c r="D1624" s="89" t="s">
        <v>663</v>
      </c>
    </row>
    <row r="1625" spans="1:4" x14ac:dyDescent="0.25">
      <c r="A1625" s="89" t="s">
        <v>194</v>
      </c>
      <c r="B1625" s="89" t="s">
        <v>616</v>
      </c>
      <c r="C1625" s="89">
        <v>405936.15</v>
      </c>
      <c r="D1625" s="89" t="s">
        <v>666</v>
      </c>
    </row>
    <row r="1626" spans="1:4" x14ac:dyDescent="0.25">
      <c r="A1626" s="89" t="s">
        <v>194</v>
      </c>
      <c r="B1626" s="89" t="s">
        <v>616</v>
      </c>
      <c r="C1626" s="89">
        <v>198312</v>
      </c>
      <c r="D1626" s="89" t="s">
        <v>666</v>
      </c>
    </row>
    <row r="1627" spans="1:4" x14ac:dyDescent="0.25">
      <c r="A1627" s="89" t="s">
        <v>194</v>
      </c>
      <c r="B1627" s="89" t="s">
        <v>616</v>
      </c>
      <c r="C1627" s="89">
        <v>50000</v>
      </c>
      <c r="D1627" s="89" t="s">
        <v>666</v>
      </c>
    </row>
    <row r="1628" spans="1:4" x14ac:dyDescent="0.25">
      <c r="A1628" s="89" t="s">
        <v>194</v>
      </c>
      <c r="B1628" s="89" t="s">
        <v>616</v>
      </c>
      <c r="C1628" s="89">
        <v>853584</v>
      </c>
      <c r="D1628" s="89" t="s">
        <v>663</v>
      </c>
    </row>
    <row r="1629" spans="1:4" x14ac:dyDescent="0.25">
      <c r="A1629" s="89" t="s">
        <v>49</v>
      </c>
      <c r="B1629" s="89" t="s">
        <v>616</v>
      </c>
      <c r="C1629" s="89">
        <v>556599</v>
      </c>
      <c r="D1629" s="89" t="s">
        <v>663</v>
      </c>
    </row>
    <row r="1630" spans="1:4" x14ac:dyDescent="0.25">
      <c r="A1630" s="89" t="s">
        <v>49</v>
      </c>
      <c r="B1630" s="89" t="s">
        <v>616</v>
      </c>
      <c r="C1630" s="89">
        <v>382156</v>
      </c>
      <c r="D1630" s="89" t="s">
        <v>666</v>
      </c>
    </row>
    <row r="1631" spans="1:4" x14ac:dyDescent="0.25">
      <c r="A1631" s="89" t="s">
        <v>49</v>
      </c>
      <c r="B1631" s="89" t="s">
        <v>616</v>
      </c>
      <c r="C1631" s="89">
        <v>330763</v>
      </c>
      <c r="D1631" s="89" t="s">
        <v>666</v>
      </c>
    </row>
    <row r="1632" spans="1:4" x14ac:dyDescent="0.25">
      <c r="A1632" s="89" t="s">
        <v>49</v>
      </c>
      <c r="B1632" s="89" t="s">
        <v>616</v>
      </c>
      <c r="C1632" s="89">
        <v>93222</v>
      </c>
      <c r="D1632" s="89" t="s">
        <v>666</v>
      </c>
    </row>
    <row r="1633" spans="1:4" x14ac:dyDescent="0.25">
      <c r="A1633" s="89" t="s">
        <v>49</v>
      </c>
      <c r="B1633" s="89" t="s">
        <v>616</v>
      </c>
      <c r="C1633" s="89">
        <v>4640031</v>
      </c>
      <c r="D1633" s="89" t="s">
        <v>663</v>
      </c>
    </row>
    <row r="1634" spans="1:4" x14ac:dyDescent="0.25">
      <c r="A1634" s="89" t="s">
        <v>49</v>
      </c>
      <c r="B1634" s="89" t="s">
        <v>616</v>
      </c>
      <c r="C1634" s="89">
        <v>469370</v>
      </c>
      <c r="D1634" s="89" t="s">
        <v>666</v>
      </c>
    </row>
    <row r="1635" spans="1:4" x14ac:dyDescent="0.25">
      <c r="A1635" s="89" t="s">
        <v>49</v>
      </c>
      <c r="B1635" s="89" t="s">
        <v>616</v>
      </c>
      <c r="C1635" s="89">
        <v>314585</v>
      </c>
      <c r="D1635" s="89" t="s">
        <v>666</v>
      </c>
    </row>
    <row r="1636" spans="1:4" x14ac:dyDescent="0.25">
      <c r="A1636" s="89" t="s">
        <v>49</v>
      </c>
      <c r="B1636" s="89" t="s">
        <v>616</v>
      </c>
      <c r="C1636" s="89">
        <v>44372</v>
      </c>
      <c r="D1636" s="89" t="s">
        <v>663</v>
      </c>
    </row>
    <row r="1637" spans="1:4" x14ac:dyDescent="0.25">
      <c r="A1637" s="89" t="s">
        <v>49</v>
      </c>
      <c r="B1637" s="89" t="s">
        <v>616</v>
      </c>
      <c r="C1637" s="89">
        <v>1491000</v>
      </c>
      <c r="D1637" s="89" t="s">
        <v>663</v>
      </c>
    </row>
    <row r="1638" spans="1:4" x14ac:dyDescent="0.25">
      <c r="A1638" s="89" t="s">
        <v>49</v>
      </c>
      <c r="B1638" s="89" t="s">
        <v>616</v>
      </c>
      <c r="C1638" s="89">
        <v>977990</v>
      </c>
      <c r="D1638" s="89" t="s">
        <v>663</v>
      </c>
    </row>
    <row r="1639" spans="1:4" x14ac:dyDescent="0.25">
      <c r="A1639" s="89" t="s">
        <v>49</v>
      </c>
      <c r="B1639" s="89" t="s">
        <v>616</v>
      </c>
      <c r="C1639" s="89">
        <v>58237</v>
      </c>
      <c r="D1639" s="89" t="s">
        <v>663</v>
      </c>
    </row>
    <row r="1640" spans="1:4" x14ac:dyDescent="0.25">
      <c r="A1640" s="89" t="s">
        <v>49</v>
      </c>
      <c r="B1640" s="89" t="s">
        <v>616</v>
      </c>
      <c r="C1640" s="89">
        <v>1267738</v>
      </c>
      <c r="D1640" s="89" t="s">
        <v>663</v>
      </c>
    </row>
    <row r="1641" spans="1:4" x14ac:dyDescent="0.25">
      <c r="A1641" s="89" t="s">
        <v>49</v>
      </c>
      <c r="B1641" s="89" t="s">
        <v>616</v>
      </c>
      <c r="C1641" s="89">
        <v>315767.13</v>
      </c>
      <c r="D1641" s="89" t="s">
        <v>663</v>
      </c>
    </row>
    <row r="1642" spans="1:4" x14ac:dyDescent="0.25">
      <c r="A1642" s="89" t="s">
        <v>49</v>
      </c>
      <c r="B1642" s="89" t="s">
        <v>616</v>
      </c>
      <c r="C1642" s="89">
        <v>329400</v>
      </c>
      <c r="D1642" s="89" t="s">
        <v>663</v>
      </c>
    </row>
    <row r="1643" spans="1:4" x14ac:dyDescent="0.25">
      <c r="A1643" s="89" t="s">
        <v>49</v>
      </c>
      <c r="B1643" s="89" t="s">
        <v>616</v>
      </c>
      <c r="C1643" s="89">
        <v>365814</v>
      </c>
      <c r="D1643" s="89" t="s">
        <v>663</v>
      </c>
    </row>
    <row r="1644" spans="1:4" x14ac:dyDescent="0.25">
      <c r="A1644" s="89" t="s">
        <v>49</v>
      </c>
      <c r="B1644" s="89" t="s">
        <v>616</v>
      </c>
      <c r="C1644" s="89">
        <v>104532</v>
      </c>
      <c r="D1644" s="89" t="s">
        <v>663</v>
      </c>
    </row>
    <row r="1645" spans="1:4" x14ac:dyDescent="0.25">
      <c r="A1645" s="89" t="s">
        <v>49</v>
      </c>
      <c r="B1645" s="89" t="s">
        <v>616</v>
      </c>
      <c r="C1645" s="89">
        <v>2326478</v>
      </c>
      <c r="D1645" s="89" t="s">
        <v>663</v>
      </c>
    </row>
    <row r="1646" spans="1:4" x14ac:dyDescent="0.25">
      <c r="A1646" s="89" t="s">
        <v>49</v>
      </c>
      <c r="B1646" s="89" t="s">
        <v>616</v>
      </c>
      <c r="C1646" s="89">
        <v>4566491</v>
      </c>
      <c r="D1646" s="89" t="s">
        <v>663</v>
      </c>
    </row>
    <row r="1647" spans="1:4" x14ac:dyDescent="0.25">
      <c r="A1647" s="89" t="s">
        <v>49</v>
      </c>
      <c r="B1647" s="89" t="s">
        <v>616</v>
      </c>
      <c r="C1647" s="89">
        <v>2339108</v>
      </c>
      <c r="D1647" s="89" t="s">
        <v>663</v>
      </c>
    </row>
    <row r="1648" spans="1:4" x14ac:dyDescent="0.25">
      <c r="A1648" s="89" t="s">
        <v>49</v>
      </c>
      <c r="B1648" s="89" t="s">
        <v>616</v>
      </c>
      <c r="C1648" s="89">
        <v>1596835</v>
      </c>
      <c r="D1648" s="89" t="s">
        <v>663</v>
      </c>
    </row>
    <row r="1649" spans="1:4" x14ac:dyDescent="0.25">
      <c r="A1649" s="89" t="s">
        <v>49</v>
      </c>
      <c r="B1649" s="89" t="s">
        <v>616</v>
      </c>
      <c r="C1649" s="89">
        <v>4070685</v>
      </c>
      <c r="D1649" s="89" t="s">
        <v>663</v>
      </c>
    </row>
    <row r="1650" spans="1:4" x14ac:dyDescent="0.25">
      <c r="A1650" s="89" t="s">
        <v>49</v>
      </c>
      <c r="B1650" s="89" t="s">
        <v>616</v>
      </c>
      <c r="C1650" s="89">
        <v>659011</v>
      </c>
      <c r="D1650" s="89" t="s">
        <v>666</v>
      </c>
    </row>
    <row r="1651" spans="1:4" x14ac:dyDescent="0.25">
      <c r="A1651" s="89" t="s">
        <v>49</v>
      </c>
      <c r="B1651" s="89" t="s">
        <v>616</v>
      </c>
      <c r="C1651" s="89">
        <v>2708166</v>
      </c>
      <c r="D1651" s="89" t="s">
        <v>663</v>
      </c>
    </row>
    <row r="1652" spans="1:4" x14ac:dyDescent="0.25">
      <c r="A1652" s="89" t="s">
        <v>49</v>
      </c>
      <c r="B1652" s="89" t="s">
        <v>616</v>
      </c>
      <c r="C1652" s="89">
        <v>225351</v>
      </c>
      <c r="D1652" s="89" t="s">
        <v>663</v>
      </c>
    </row>
    <row r="1653" spans="1:4" x14ac:dyDescent="0.25">
      <c r="A1653" s="89" t="s">
        <v>49</v>
      </c>
      <c r="B1653" s="89" t="s">
        <v>616</v>
      </c>
      <c r="C1653" s="89">
        <v>437626</v>
      </c>
      <c r="D1653" s="89" t="s">
        <v>666</v>
      </c>
    </row>
    <row r="1654" spans="1:4" x14ac:dyDescent="0.25">
      <c r="A1654" s="89" t="s">
        <v>49</v>
      </c>
      <c r="B1654" s="89" t="s">
        <v>616</v>
      </c>
      <c r="C1654" s="89">
        <v>370917</v>
      </c>
      <c r="D1654" s="89" t="s">
        <v>663</v>
      </c>
    </row>
    <row r="1655" spans="1:4" x14ac:dyDescent="0.25">
      <c r="A1655" s="89" t="s">
        <v>49</v>
      </c>
      <c r="B1655" s="89" t="s">
        <v>616</v>
      </c>
      <c r="C1655" s="89">
        <v>1783695</v>
      </c>
      <c r="D1655" s="89" t="s">
        <v>663</v>
      </c>
    </row>
    <row r="1656" spans="1:4" x14ac:dyDescent="0.25">
      <c r="A1656" s="89" t="s">
        <v>49</v>
      </c>
      <c r="B1656" s="89" t="s">
        <v>616</v>
      </c>
      <c r="C1656" s="89">
        <v>2253041</v>
      </c>
      <c r="D1656" s="89" t="s">
        <v>663</v>
      </c>
    </row>
    <row r="1657" spans="1:4" x14ac:dyDescent="0.25">
      <c r="A1657" s="89" t="s">
        <v>49</v>
      </c>
      <c r="B1657" s="89" t="s">
        <v>616</v>
      </c>
      <c r="C1657" s="89">
        <v>297063</v>
      </c>
      <c r="D1657" s="89" t="s">
        <v>663</v>
      </c>
    </row>
    <row r="1658" spans="1:4" x14ac:dyDescent="0.25">
      <c r="A1658" s="89" t="s">
        <v>49</v>
      </c>
      <c r="B1658" s="89" t="s">
        <v>616</v>
      </c>
      <c r="C1658" s="89">
        <v>164880</v>
      </c>
      <c r="D1658" s="89" t="s">
        <v>663</v>
      </c>
    </row>
    <row r="1659" spans="1:4" x14ac:dyDescent="0.25">
      <c r="A1659" s="89" t="s">
        <v>49</v>
      </c>
      <c r="B1659" s="89" t="s">
        <v>616</v>
      </c>
      <c r="C1659" s="89">
        <v>404266</v>
      </c>
      <c r="D1659" s="89" t="s">
        <v>666</v>
      </c>
    </row>
    <row r="1660" spans="1:4" x14ac:dyDescent="0.25">
      <c r="A1660" s="89" t="s">
        <v>49</v>
      </c>
      <c r="B1660" s="89" t="s">
        <v>616</v>
      </c>
      <c r="C1660" s="89">
        <v>209803</v>
      </c>
      <c r="D1660" s="89" t="s">
        <v>663</v>
      </c>
    </row>
    <row r="1661" spans="1:4" x14ac:dyDescent="0.25">
      <c r="A1661" s="89" t="s">
        <v>49</v>
      </c>
      <c r="B1661" s="89" t="s">
        <v>616</v>
      </c>
      <c r="C1661" s="89">
        <v>509616</v>
      </c>
      <c r="D1661" s="89" t="s">
        <v>663</v>
      </c>
    </row>
    <row r="1662" spans="1:4" x14ac:dyDescent="0.25">
      <c r="A1662" s="89" t="s">
        <v>49</v>
      </c>
      <c r="B1662" s="89" t="s">
        <v>616</v>
      </c>
      <c r="C1662" s="89">
        <v>161163</v>
      </c>
      <c r="D1662" s="89" t="s">
        <v>666</v>
      </c>
    </row>
    <row r="1663" spans="1:4" x14ac:dyDescent="0.25">
      <c r="A1663" s="89" t="s">
        <v>49</v>
      </c>
      <c r="B1663" s="89" t="s">
        <v>616</v>
      </c>
      <c r="C1663" s="89">
        <v>44080</v>
      </c>
      <c r="D1663" s="89" t="s">
        <v>663</v>
      </c>
    </row>
    <row r="1664" spans="1:4" x14ac:dyDescent="0.25">
      <c r="A1664" s="89" t="s">
        <v>49</v>
      </c>
      <c r="B1664" s="89" t="s">
        <v>616</v>
      </c>
      <c r="C1664" s="89">
        <v>-13718.15</v>
      </c>
      <c r="D1664" s="89" t="s">
        <v>666</v>
      </c>
    </row>
    <row r="1665" spans="1:4" x14ac:dyDescent="0.25">
      <c r="A1665" s="89" t="s">
        <v>49</v>
      </c>
      <c r="B1665" s="89" t="s">
        <v>616</v>
      </c>
      <c r="C1665" s="89">
        <v>318530</v>
      </c>
      <c r="D1665" s="89" t="s">
        <v>663</v>
      </c>
    </row>
    <row r="1666" spans="1:4" x14ac:dyDescent="0.25">
      <c r="A1666" s="89" t="s">
        <v>49</v>
      </c>
      <c r="B1666" s="89" t="s">
        <v>616</v>
      </c>
      <c r="C1666" s="89">
        <v>1088848.6100000001</v>
      </c>
      <c r="D1666" s="89" t="s">
        <v>663</v>
      </c>
    </row>
    <row r="1667" spans="1:4" x14ac:dyDescent="0.25">
      <c r="A1667" s="89" t="s">
        <v>49</v>
      </c>
      <c r="B1667" s="89" t="s">
        <v>616</v>
      </c>
      <c r="C1667" s="89">
        <v>784438</v>
      </c>
      <c r="D1667" s="89" t="s">
        <v>663</v>
      </c>
    </row>
    <row r="1668" spans="1:4" x14ac:dyDescent="0.25">
      <c r="A1668" s="89" t="s">
        <v>49</v>
      </c>
      <c r="B1668" s="89" t="s">
        <v>616</v>
      </c>
      <c r="C1668" s="89">
        <v>944917</v>
      </c>
      <c r="D1668" s="89" t="s">
        <v>663</v>
      </c>
    </row>
    <row r="1669" spans="1:4" x14ac:dyDescent="0.25">
      <c r="A1669" s="89" t="s">
        <v>49</v>
      </c>
      <c r="B1669" s="89" t="s">
        <v>616</v>
      </c>
      <c r="C1669" s="89">
        <v>145678</v>
      </c>
      <c r="D1669" s="89" t="s">
        <v>663</v>
      </c>
    </row>
    <row r="1670" spans="1:4" x14ac:dyDescent="0.25">
      <c r="A1670" s="89" t="s">
        <v>49</v>
      </c>
      <c r="B1670" s="89" t="s">
        <v>616</v>
      </c>
      <c r="C1670" s="89">
        <v>327403</v>
      </c>
      <c r="D1670" s="89" t="s">
        <v>666</v>
      </c>
    </row>
    <row r="1671" spans="1:4" x14ac:dyDescent="0.25">
      <c r="A1671" s="89" t="s">
        <v>49</v>
      </c>
      <c r="B1671" s="89" t="s">
        <v>616</v>
      </c>
      <c r="C1671" s="89">
        <v>357959</v>
      </c>
      <c r="D1671" s="89" t="s">
        <v>663</v>
      </c>
    </row>
    <row r="1672" spans="1:4" x14ac:dyDescent="0.25">
      <c r="A1672" s="89" t="s">
        <v>49</v>
      </c>
      <c r="B1672" s="89" t="s">
        <v>616</v>
      </c>
      <c r="C1672" s="89">
        <v>6630</v>
      </c>
      <c r="D1672" s="89" t="s">
        <v>663</v>
      </c>
    </row>
    <row r="1673" spans="1:4" x14ac:dyDescent="0.25">
      <c r="A1673" s="89" t="s">
        <v>49</v>
      </c>
      <c r="B1673" s="89" t="s">
        <v>616</v>
      </c>
      <c r="C1673" s="89">
        <v>60624</v>
      </c>
      <c r="D1673" s="89" t="s">
        <v>666</v>
      </c>
    </row>
    <row r="1674" spans="1:4" x14ac:dyDescent="0.25">
      <c r="A1674" s="89" t="s">
        <v>49</v>
      </c>
      <c r="B1674" s="89" t="s">
        <v>616</v>
      </c>
      <c r="C1674" s="89">
        <v>151754</v>
      </c>
      <c r="D1674" s="89" t="s">
        <v>666</v>
      </c>
    </row>
    <row r="1675" spans="1:4" x14ac:dyDescent="0.25">
      <c r="A1675" s="89" t="s">
        <v>49</v>
      </c>
      <c r="B1675" s="89" t="s">
        <v>616</v>
      </c>
      <c r="C1675" s="89">
        <v>166930</v>
      </c>
      <c r="D1675" s="89" t="s">
        <v>663</v>
      </c>
    </row>
    <row r="1676" spans="1:4" x14ac:dyDescent="0.25">
      <c r="A1676" s="89" t="s">
        <v>49</v>
      </c>
      <c r="B1676" s="89" t="s">
        <v>616</v>
      </c>
      <c r="C1676" s="89">
        <v>1977598.44</v>
      </c>
      <c r="D1676" s="89" t="s">
        <v>663</v>
      </c>
    </row>
    <row r="1677" spans="1:4" x14ac:dyDescent="0.25">
      <c r="A1677" s="89" t="s">
        <v>49</v>
      </c>
      <c r="B1677" s="89" t="s">
        <v>616</v>
      </c>
      <c r="C1677" s="89">
        <v>320963.78999999998</v>
      </c>
      <c r="D1677" s="89" t="s">
        <v>663</v>
      </c>
    </row>
    <row r="1678" spans="1:4" x14ac:dyDescent="0.25">
      <c r="A1678" s="89" t="s">
        <v>49</v>
      </c>
      <c r="B1678" s="89" t="s">
        <v>616</v>
      </c>
      <c r="C1678" s="89">
        <v>791020</v>
      </c>
      <c r="D1678" s="89" t="s">
        <v>663</v>
      </c>
    </row>
    <row r="1679" spans="1:4" x14ac:dyDescent="0.25">
      <c r="A1679" s="89" t="s">
        <v>49</v>
      </c>
      <c r="B1679" s="89" t="s">
        <v>616</v>
      </c>
      <c r="C1679" s="89">
        <v>1330528</v>
      </c>
      <c r="D1679" s="89" t="s">
        <v>666</v>
      </c>
    </row>
    <row r="1680" spans="1:4" x14ac:dyDescent="0.25">
      <c r="A1680" s="89" t="s">
        <v>49</v>
      </c>
      <c r="B1680" s="89" t="s">
        <v>616</v>
      </c>
      <c r="C1680" s="89">
        <v>390109</v>
      </c>
      <c r="D1680" s="89" t="s">
        <v>666</v>
      </c>
    </row>
    <row r="1681" spans="1:4" x14ac:dyDescent="0.25">
      <c r="A1681" s="89" t="s">
        <v>49</v>
      </c>
      <c r="B1681" s="89" t="s">
        <v>616</v>
      </c>
      <c r="C1681" s="89">
        <v>215702</v>
      </c>
      <c r="D1681" s="89" t="s">
        <v>663</v>
      </c>
    </row>
    <row r="1682" spans="1:4" x14ac:dyDescent="0.25">
      <c r="A1682" s="89" t="s">
        <v>49</v>
      </c>
      <c r="B1682" s="89" t="s">
        <v>616</v>
      </c>
      <c r="C1682" s="89">
        <v>666756</v>
      </c>
      <c r="D1682" s="89" t="s">
        <v>663</v>
      </c>
    </row>
    <row r="1683" spans="1:4" x14ac:dyDescent="0.25">
      <c r="A1683" s="89" t="s">
        <v>49</v>
      </c>
      <c r="B1683" s="89" t="s">
        <v>616</v>
      </c>
      <c r="C1683" s="89">
        <v>-821.38</v>
      </c>
      <c r="D1683" s="89" t="s">
        <v>666</v>
      </c>
    </row>
    <row r="1684" spans="1:4" x14ac:dyDescent="0.25">
      <c r="A1684" s="89" t="s">
        <v>49</v>
      </c>
      <c r="B1684" s="89" t="s">
        <v>616</v>
      </c>
      <c r="C1684" s="89">
        <v>1044657.88</v>
      </c>
      <c r="D1684" s="89" t="s">
        <v>663</v>
      </c>
    </row>
    <row r="1685" spans="1:4" x14ac:dyDescent="0.25">
      <c r="A1685" s="89" t="s">
        <v>49</v>
      </c>
      <c r="B1685" s="89" t="s">
        <v>616</v>
      </c>
      <c r="C1685" s="89">
        <v>336748</v>
      </c>
      <c r="D1685" s="89" t="s">
        <v>666</v>
      </c>
    </row>
    <row r="1686" spans="1:4" x14ac:dyDescent="0.25">
      <c r="A1686" s="89" t="s">
        <v>49</v>
      </c>
      <c r="B1686" s="89" t="s">
        <v>616</v>
      </c>
      <c r="C1686" s="89">
        <v>269015.43</v>
      </c>
      <c r="D1686" s="89" t="s">
        <v>666</v>
      </c>
    </row>
    <row r="1687" spans="1:4" x14ac:dyDescent="0.25">
      <c r="A1687" s="89" t="s">
        <v>49</v>
      </c>
      <c r="B1687" s="89" t="s">
        <v>616</v>
      </c>
      <c r="C1687" s="89">
        <v>397657</v>
      </c>
      <c r="D1687" s="89" t="s">
        <v>663</v>
      </c>
    </row>
    <row r="1688" spans="1:4" x14ac:dyDescent="0.25">
      <c r="A1688" s="89" t="s">
        <v>193</v>
      </c>
      <c r="B1688" s="89" t="s">
        <v>639</v>
      </c>
      <c r="C1688" s="89">
        <v>517557</v>
      </c>
      <c r="D1688" s="89" t="s">
        <v>663</v>
      </c>
    </row>
    <row r="1689" spans="1:4" x14ac:dyDescent="0.25">
      <c r="A1689" s="89" t="s">
        <v>193</v>
      </c>
      <c r="B1689" s="89" t="s">
        <v>639</v>
      </c>
      <c r="C1689" s="89">
        <v>2132627</v>
      </c>
      <c r="D1689" s="89" t="s">
        <v>663</v>
      </c>
    </row>
    <row r="1690" spans="1:4" x14ac:dyDescent="0.25">
      <c r="A1690" s="89" t="s">
        <v>193</v>
      </c>
      <c r="B1690" s="89" t="s">
        <v>639</v>
      </c>
      <c r="C1690" s="89">
        <v>192000</v>
      </c>
      <c r="D1690" s="89" t="s">
        <v>663</v>
      </c>
    </row>
    <row r="1691" spans="1:4" x14ac:dyDescent="0.25">
      <c r="A1691" s="89" t="s">
        <v>193</v>
      </c>
      <c r="B1691" s="89" t="s">
        <v>639</v>
      </c>
      <c r="C1691" s="89">
        <v>934019</v>
      </c>
      <c r="D1691" s="89" t="s">
        <v>664</v>
      </c>
    </row>
    <row r="1692" spans="1:4" x14ac:dyDescent="0.25">
      <c r="A1692" s="89" t="s">
        <v>193</v>
      </c>
      <c r="B1692" s="89" t="s">
        <v>639</v>
      </c>
      <c r="C1692" s="89">
        <v>770053</v>
      </c>
      <c r="D1692" s="89" t="s">
        <v>663</v>
      </c>
    </row>
    <row r="1693" spans="1:4" x14ac:dyDescent="0.25">
      <c r="A1693" s="89" t="s">
        <v>193</v>
      </c>
      <c r="B1693" s="89" t="s">
        <v>639</v>
      </c>
      <c r="C1693" s="89">
        <v>200000</v>
      </c>
      <c r="D1693" s="89" t="s">
        <v>663</v>
      </c>
    </row>
    <row r="1694" spans="1:4" x14ac:dyDescent="0.25">
      <c r="A1694" s="89" t="s">
        <v>193</v>
      </c>
      <c r="B1694" s="89" t="s">
        <v>639</v>
      </c>
      <c r="C1694" s="89">
        <v>1608023.87</v>
      </c>
      <c r="D1694" s="89" t="s">
        <v>664</v>
      </c>
    </row>
    <row r="1695" spans="1:4" x14ac:dyDescent="0.25">
      <c r="A1695" s="89" t="s">
        <v>193</v>
      </c>
      <c r="B1695" s="89" t="s">
        <v>639</v>
      </c>
      <c r="C1695" s="89">
        <v>662434.76</v>
      </c>
      <c r="D1695" s="89" t="s">
        <v>664</v>
      </c>
    </row>
    <row r="1696" spans="1:4" x14ac:dyDescent="0.25">
      <c r="A1696" s="89" t="s">
        <v>193</v>
      </c>
      <c r="B1696" s="89" t="s">
        <v>639</v>
      </c>
      <c r="C1696" s="89">
        <v>648809.93999999994</v>
      </c>
      <c r="D1696" s="89" t="s">
        <v>664</v>
      </c>
    </row>
    <row r="1697" spans="1:4" x14ac:dyDescent="0.25">
      <c r="A1697" s="89" t="s">
        <v>193</v>
      </c>
      <c r="B1697" s="89" t="s">
        <v>639</v>
      </c>
      <c r="C1697" s="89">
        <v>1314495.23</v>
      </c>
      <c r="D1697" s="89" t="s">
        <v>663</v>
      </c>
    </row>
    <row r="1698" spans="1:4" x14ac:dyDescent="0.25">
      <c r="A1698" s="89" t="s">
        <v>193</v>
      </c>
      <c r="B1698" s="89" t="s">
        <v>639</v>
      </c>
      <c r="C1698" s="89">
        <v>1892993.45</v>
      </c>
      <c r="D1698" s="89" t="s">
        <v>664</v>
      </c>
    </row>
    <row r="1699" spans="1:4" x14ac:dyDescent="0.25">
      <c r="A1699" s="89" t="s">
        <v>193</v>
      </c>
      <c r="B1699" s="89" t="s">
        <v>639</v>
      </c>
      <c r="C1699" s="89">
        <v>1070413.49</v>
      </c>
      <c r="D1699" s="89" t="s">
        <v>663</v>
      </c>
    </row>
    <row r="1700" spans="1:4" x14ac:dyDescent="0.25">
      <c r="A1700" s="89" t="s">
        <v>193</v>
      </c>
      <c r="B1700" s="89" t="s">
        <v>639</v>
      </c>
      <c r="C1700" s="89">
        <v>1326000</v>
      </c>
      <c r="D1700" s="89" t="s">
        <v>664</v>
      </c>
    </row>
    <row r="1701" spans="1:4" x14ac:dyDescent="0.25">
      <c r="A1701" s="89" t="s">
        <v>193</v>
      </c>
      <c r="B1701" s="89" t="s">
        <v>639</v>
      </c>
      <c r="C1701" s="89">
        <v>257468.19</v>
      </c>
      <c r="D1701" s="89" t="s">
        <v>663</v>
      </c>
    </row>
    <row r="1702" spans="1:4" x14ac:dyDescent="0.25">
      <c r="A1702" s="89" t="s">
        <v>193</v>
      </c>
      <c r="B1702" s="89" t="s">
        <v>639</v>
      </c>
      <c r="C1702" s="89">
        <v>765055.63</v>
      </c>
      <c r="D1702" s="89" t="s">
        <v>664</v>
      </c>
    </row>
    <row r="1703" spans="1:4" x14ac:dyDescent="0.25">
      <c r="A1703" s="89" t="s">
        <v>193</v>
      </c>
      <c r="B1703" s="89" t="s">
        <v>639</v>
      </c>
      <c r="C1703" s="89">
        <v>1369473.82</v>
      </c>
      <c r="D1703" s="89" t="s">
        <v>664</v>
      </c>
    </row>
    <row r="1704" spans="1:4" x14ac:dyDescent="0.25">
      <c r="A1704" s="89" t="s">
        <v>193</v>
      </c>
      <c r="B1704" s="89" t="s">
        <v>639</v>
      </c>
      <c r="C1704" s="89">
        <v>3483905</v>
      </c>
      <c r="D1704" s="89" t="s">
        <v>664</v>
      </c>
    </row>
    <row r="1705" spans="1:4" x14ac:dyDescent="0.25">
      <c r="A1705" s="89" t="s">
        <v>193</v>
      </c>
      <c r="B1705" s="89" t="s">
        <v>639</v>
      </c>
      <c r="C1705" s="89">
        <v>419187</v>
      </c>
      <c r="D1705" s="89" t="s">
        <v>663</v>
      </c>
    </row>
    <row r="1706" spans="1:4" x14ac:dyDescent="0.25">
      <c r="A1706" s="89" t="s">
        <v>193</v>
      </c>
      <c r="B1706" s="89" t="s">
        <v>639</v>
      </c>
      <c r="C1706" s="89">
        <v>223171</v>
      </c>
      <c r="D1706" s="89" t="s">
        <v>663</v>
      </c>
    </row>
    <row r="1707" spans="1:4" x14ac:dyDescent="0.25">
      <c r="A1707" s="89" t="s">
        <v>193</v>
      </c>
      <c r="B1707" s="89" t="s">
        <v>639</v>
      </c>
      <c r="C1707" s="89">
        <v>2000000</v>
      </c>
      <c r="D1707" s="89" t="s">
        <v>664</v>
      </c>
    </row>
    <row r="1708" spans="1:4" x14ac:dyDescent="0.25">
      <c r="A1708" s="89" t="s">
        <v>193</v>
      </c>
      <c r="B1708" s="89" t="s">
        <v>639</v>
      </c>
      <c r="C1708" s="89">
        <v>1371857</v>
      </c>
      <c r="D1708" s="89" t="s">
        <v>664</v>
      </c>
    </row>
    <row r="1709" spans="1:4" x14ac:dyDescent="0.25">
      <c r="A1709" s="89" t="s">
        <v>193</v>
      </c>
      <c r="B1709" s="89" t="s">
        <v>639</v>
      </c>
      <c r="C1709" s="89">
        <v>1825740</v>
      </c>
      <c r="D1709" s="89" t="s">
        <v>664</v>
      </c>
    </row>
    <row r="1710" spans="1:4" x14ac:dyDescent="0.25">
      <c r="A1710" s="89" t="s">
        <v>193</v>
      </c>
      <c r="B1710" s="89" t="s">
        <v>639</v>
      </c>
      <c r="C1710" s="89">
        <v>865564</v>
      </c>
      <c r="D1710" s="89" t="s">
        <v>664</v>
      </c>
    </row>
    <row r="1711" spans="1:4" x14ac:dyDescent="0.25">
      <c r="A1711" s="89" t="s">
        <v>193</v>
      </c>
      <c r="B1711" s="89" t="s">
        <v>639</v>
      </c>
      <c r="C1711" s="89">
        <v>607483.19999999995</v>
      </c>
      <c r="D1711" s="89" t="s">
        <v>663</v>
      </c>
    </row>
    <row r="1712" spans="1:4" x14ac:dyDescent="0.25">
      <c r="A1712" s="89" t="s">
        <v>193</v>
      </c>
      <c r="B1712" s="89" t="s">
        <v>639</v>
      </c>
      <c r="C1712" s="89">
        <v>1652930.73</v>
      </c>
      <c r="D1712" s="89" t="s">
        <v>664</v>
      </c>
    </row>
    <row r="1713" spans="1:4" x14ac:dyDescent="0.25">
      <c r="A1713" s="89" t="s">
        <v>193</v>
      </c>
      <c r="B1713" s="89" t="s">
        <v>639</v>
      </c>
      <c r="C1713" s="89">
        <v>105692</v>
      </c>
      <c r="D1713" s="89" t="s">
        <v>663</v>
      </c>
    </row>
    <row r="1714" spans="1:4" x14ac:dyDescent="0.25">
      <c r="A1714" s="89" t="s">
        <v>96</v>
      </c>
      <c r="B1714" s="89" t="s">
        <v>617</v>
      </c>
      <c r="C1714" s="89">
        <v>1174775</v>
      </c>
      <c r="D1714" s="89" t="s">
        <v>663</v>
      </c>
    </row>
    <row r="1715" spans="1:4" x14ac:dyDescent="0.25">
      <c r="A1715" s="89" t="s">
        <v>96</v>
      </c>
      <c r="B1715" s="89" t="s">
        <v>617</v>
      </c>
      <c r="C1715" s="89">
        <v>756152</v>
      </c>
      <c r="D1715" s="89" t="s">
        <v>664</v>
      </c>
    </row>
    <row r="1716" spans="1:4" x14ac:dyDescent="0.25">
      <c r="A1716" s="89" t="s">
        <v>96</v>
      </c>
      <c r="B1716" s="89" t="s">
        <v>617</v>
      </c>
      <c r="C1716" s="89">
        <v>291871</v>
      </c>
      <c r="D1716" s="89" t="s">
        <v>664</v>
      </c>
    </row>
    <row r="1717" spans="1:4" x14ac:dyDescent="0.25">
      <c r="A1717" s="89" t="s">
        <v>96</v>
      </c>
      <c r="B1717" s="89" t="s">
        <v>617</v>
      </c>
      <c r="C1717" s="89">
        <v>3219130</v>
      </c>
      <c r="D1717" s="89" t="s">
        <v>663</v>
      </c>
    </row>
    <row r="1718" spans="1:4" x14ac:dyDescent="0.25">
      <c r="A1718" s="89" t="s">
        <v>96</v>
      </c>
      <c r="B1718" s="89" t="s">
        <v>617</v>
      </c>
      <c r="C1718" s="89">
        <v>1245547</v>
      </c>
      <c r="D1718" s="89" t="s">
        <v>664</v>
      </c>
    </row>
    <row r="1719" spans="1:4" x14ac:dyDescent="0.25">
      <c r="A1719" s="89" t="s">
        <v>96</v>
      </c>
      <c r="B1719" s="89" t="s">
        <v>617</v>
      </c>
      <c r="C1719" s="89">
        <v>4880876.47</v>
      </c>
      <c r="D1719" s="89" t="s">
        <v>663</v>
      </c>
    </row>
    <row r="1720" spans="1:4" x14ac:dyDescent="0.25">
      <c r="A1720" s="89" t="s">
        <v>96</v>
      </c>
      <c r="B1720" s="89" t="s">
        <v>617</v>
      </c>
      <c r="C1720" s="89">
        <v>66555.94</v>
      </c>
      <c r="D1720" s="89" t="s">
        <v>666</v>
      </c>
    </row>
    <row r="1721" spans="1:4" x14ac:dyDescent="0.25">
      <c r="A1721" s="89" t="s">
        <v>96</v>
      </c>
      <c r="B1721" s="89" t="s">
        <v>617</v>
      </c>
      <c r="C1721" s="89">
        <v>5642202</v>
      </c>
      <c r="D1721" s="89" t="s">
        <v>663</v>
      </c>
    </row>
    <row r="1722" spans="1:4" x14ac:dyDescent="0.25">
      <c r="A1722" s="89" t="s">
        <v>96</v>
      </c>
      <c r="B1722" s="89" t="s">
        <v>617</v>
      </c>
      <c r="C1722" s="89">
        <v>5997748</v>
      </c>
      <c r="D1722" s="89" t="s">
        <v>663</v>
      </c>
    </row>
    <row r="1723" spans="1:4" x14ac:dyDescent="0.25">
      <c r="A1723" s="89" t="s">
        <v>96</v>
      </c>
      <c r="B1723" s="89" t="s">
        <v>617</v>
      </c>
      <c r="C1723" s="89">
        <v>1272722</v>
      </c>
      <c r="D1723" s="89" t="s">
        <v>663</v>
      </c>
    </row>
    <row r="1724" spans="1:4" x14ac:dyDescent="0.25">
      <c r="A1724" s="89" t="s">
        <v>96</v>
      </c>
      <c r="B1724" s="89" t="s">
        <v>617</v>
      </c>
      <c r="C1724" s="89">
        <v>140000</v>
      </c>
      <c r="D1724" s="89" t="s">
        <v>666</v>
      </c>
    </row>
    <row r="1725" spans="1:4" x14ac:dyDescent="0.25">
      <c r="A1725" s="89" t="s">
        <v>96</v>
      </c>
      <c r="B1725" s="89" t="s">
        <v>617</v>
      </c>
      <c r="C1725" s="89">
        <v>2826223</v>
      </c>
      <c r="D1725" s="89" t="s">
        <v>664</v>
      </c>
    </row>
    <row r="1726" spans="1:4" x14ac:dyDescent="0.25">
      <c r="A1726" s="89" t="s">
        <v>96</v>
      </c>
      <c r="B1726" s="89" t="s">
        <v>617</v>
      </c>
      <c r="C1726" s="89">
        <v>209617</v>
      </c>
      <c r="D1726" s="89" t="s">
        <v>666</v>
      </c>
    </row>
    <row r="1727" spans="1:4" x14ac:dyDescent="0.25">
      <c r="A1727" s="89" t="s">
        <v>96</v>
      </c>
      <c r="B1727" s="89" t="s">
        <v>617</v>
      </c>
      <c r="C1727" s="89">
        <v>206600</v>
      </c>
      <c r="D1727" s="89" t="s">
        <v>664</v>
      </c>
    </row>
    <row r="1728" spans="1:4" x14ac:dyDescent="0.25">
      <c r="A1728" s="89" t="s">
        <v>96</v>
      </c>
      <c r="B1728" s="89" t="s">
        <v>617</v>
      </c>
      <c r="C1728" s="89">
        <v>324063</v>
      </c>
      <c r="D1728" s="89" t="s">
        <v>664</v>
      </c>
    </row>
    <row r="1729" spans="1:4" x14ac:dyDescent="0.25">
      <c r="A1729" s="89" t="s">
        <v>96</v>
      </c>
      <c r="B1729" s="89" t="s">
        <v>617</v>
      </c>
      <c r="C1729" s="89">
        <v>1140635</v>
      </c>
      <c r="D1729" s="89" t="s">
        <v>664</v>
      </c>
    </row>
    <row r="1730" spans="1:4" x14ac:dyDescent="0.25">
      <c r="A1730" s="89" t="s">
        <v>96</v>
      </c>
      <c r="B1730" s="89" t="s">
        <v>617</v>
      </c>
      <c r="C1730" s="89">
        <v>3599695</v>
      </c>
      <c r="D1730" s="89" t="s">
        <v>663</v>
      </c>
    </row>
    <row r="1731" spans="1:4" x14ac:dyDescent="0.25">
      <c r="A1731" s="89" t="s">
        <v>96</v>
      </c>
      <c r="B1731" s="89" t="s">
        <v>617</v>
      </c>
      <c r="C1731" s="89">
        <v>2201155</v>
      </c>
      <c r="D1731" s="89" t="s">
        <v>663</v>
      </c>
    </row>
    <row r="1732" spans="1:4" x14ac:dyDescent="0.25">
      <c r="A1732" s="89" t="s">
        <v>96</v>
      </c>
      <c r="B1732" s="89" t="s">
        <v>617</v>
      </c>
      <c r="C1732" s="89">
        <v>3731005</v>
      </c>
      <c r="D1732" s="89" t="s">
        <v>663</v>
      </c>
    </row>
    <row r="1733" spans="1:4" x14ac:dyDescent="0.25">
      <c r="A1733" s="89" t="s">
        <v>96</v>
      </c>
      <c r="B1733" s="89" t="s">
        <v>617</v>
      </c>
      <c r="C1733" s="89">
        <v>1350114</v>
      </c>
      <c r="D1733" s="89" t="s">
        <v>664</v>
      </c>
    </row>
    <row r="1734" spans="1:4" x14ac:dyDescent="0.25">
      <c r="A1734" s="89" t="s">
        <v>96</v>
      </c>
      <c r="B1734" s="89" t="s">
        <v>617</v>
      </c>
      <c r="C1734" s="89">
        <v>455910</v>
      </c>
      <c r="D1734" s="89" t="s">
        <v>663</v>
      </c>
    </row>
    <row r="1735" spans="1:4" x14ac:dyDescent="0.25">
      <c r="A1735" s="89" t="s">
        <v>96</v>
      </c>
      <c r="B1735" s="89" t="s">
        <v>617</v>
      </c>
      <c r="C1735" s="89">
        <v>6422032</v>
      </c>
      <c r="D1735" s="89" t="s">
        <v>663</v>
      </c>
    </row>
    <row r="1736" spans="1:4" x14ac:dyDescent="0.25">
      <c r="A1736" s="89" t="s">
        <v>96</v>
      </c>
      <c r="B1736" s="89" t="s">
        <v>617</v>
      </c>
      <c r="C1736" s="89">
        <v>355261</v>
      </c>
      <c r="D1736" s="89" t="s">
        <v>664</v>
      </c>
    </row>
    <row r="1737" spans="1:4" x14ac:dyDescent="0.25">
      <c r="A1737" s="89" t="s">
        <v>96</v>
      </c>
      <c r="B1737" s="89" t="s">
        <v>617</v>
      </c>
      <c r="C1737" s="89">
        <v>3404604</v>
      </c>
      <c r="D1737" s="89" t="s">
        <v>664</v>
      </c>
    </row>
    <row r="1738" spans="1:4" x14ac:dyDescent="0.25">
      <c r="A1738" s="89" t="s">
        <v>96</v>
      </c>
      <c r="B1738" s="89" t="s">
        <v>617</v>
      </c>
      <c r="C1738" s="89">
        <v>2805044</v>
      </c>
      <c r="D1738" s="89" t="s">
        <v>663</v>
      </c>
    </row>
    <row r="1739" spans="1:4" x14ac:dyDescent="0.25">
      <c r="A1739" s="89" t="s">
        <v>96</v>
      </c>
      <c r="B1739" s="89" t="s">
        <v>617</v>
      </c>
      <c r="C1739" s="89">
        <v>120000</v>
      </c>
      <c r="D1739" s="89" t="s">
        <v>663</v>
      </c>
    </row>
    <row r="1740" spans="1:4" x14ac:dyDescent="0.25">
      <c r="A1740" s="89" t="s">
        <v>96</v>
      </c>
      <c r="B1740" s="89" t="s">
        <v>617</v>
      </c>
      <c r="C1740" s="89">
        <v>2671244</v>
      </c>
      <c r="D1740" s="89" t="s">
        <v>666</v>
      </c>
    </row>
    <row r="1741" spans="1:4" x14ac:dyDescent="0.25">
      <c r="A1741" s="89" t="s">
        <v>96</v>
      </c>
      <c r="B1741" s="89" t="s">
        <v>617</v>
      </c>
      <c r="C1741" s="89">
        <v>1011501</v>
      </c>
      <c r="D1741" s="89" t="s">
        <v>664</v>
      </c>
    </row>
    <row r="1742" spans="1:4" x14ac:dyDescent="0.25">
      <c r="A1742" s="89" t="s">
        <v>96</v>
      </c>
      <c r="B1742" s="89" t="s">
        <v>617</v>
      </c>
      <c r="C1742" s="89">
        <v>1770240</v>
      </c>
      <c r="D1742" s="89" t="s">
        <v>664</v>
      </c>
    </row>
    <row r="1743" spans="1:4" x14ac:dyDescent="0.25">
      <c r="A1743" s="89" t="s">
        <v>96</v>
      </c>
      <c r="B1743" s="89" t="s">
        <v>617</v>
      </c>
      <c r="C1743" s="89">
        <v>2454154</v>
      </c>
      <c r="D1743" s="89" t="s">
        <v>663</v>
      </c>
    </row>
    <row r="1744" spans="1:4" x14ac:dyDescent="0.25">
      <c r="A1744" s="89" t="s">
        <v>96</v>
      </c>
      <c r="B1744" s="89" t="s">
        <v>617</v>
      </c>
      <c r="C1744" s="89">
        <v>3074277</v>
      </c>
      <c r="D1744" s="89" t="s">
        <v>663</v>
      </c>
    </row>
    <row r="1745" spans="1:4" x14ac:dyDescent="0.25">
      <c r="A1745" s="89" t="s">
        <v>96</v>
      </c>
      <c r="B1745" s="89" t="s">
        <v>617</v>
      </c>
      <c r="C1745" s="89">
        <v>92272</v>
      </c>
      <c r="D1745" s="89" t="s">
        <v>664</v>
      </c>
    </row>
    <row r="1746" spans="1:4" x14ac:dyDescent="0.25">
      <c r="A1746" s="89" t="s">
        <v>96</v>
      </c>
      <c r="B1746" s="89" t="s">
        <v>617</v>
      </c>
      <c r="C1746" s="89">
        <v>778080</v>
      </c>
      <c r="D1746" s="89" t="s">
        <v>664</v>
      </c>
    </row>
    <row r="1747" spans="1:4" x14ac:dyDescent="0.25">
      <c r="A1747" s="89" t="s">
        <v>96</v>
      </c>
      <c r="B1747" s="89" t="s">
        <v>617</v>
      </c>
      <c r="C1747" s="89">
        <v>1094220</v>
      </c>
      <c r="D1747" s="89" t="s">
        <v>666</v>
      </c>
    </row>
    <row r="1748" spans="1:4" x14ac:dyDescent="0.25">
      <c r="A1748" s="89" t="s">
        <v>96</v>
      </c>
      <c r="B1748" s="89" t="s">
        <v>617</v>
      </c>
      <c r="C1748" s="89">
        <v>2017247</v>
      </c>
      <c r="D1748" s="89" t="s">
        <v>666</v>
      </c>
    </row>
    <row r="1749" spans="1:4" x14ac:dyDescent="0.25">
      <c r="A1749" s="89" t="s">
        <v>96</v>
      </c>
      <c r="B1749" s="89" t="s">
        <v>617</v>
      </c>
      <c r="C1749" s="89">
        <v>6805025</v>
      </c>
      <c r="D1749" s="89" t="s">
        <v>663</v>
      </c>
    </row>
    <row r="1750" spans="1:4" x14ac:dyDescent="0.25">
      <c r="A1750" s="89" t="s">
        <v>96</v>
      </c>
      <c r="B1750" s="89" t="s">
        <v>617</v>
      </c>
      <c r="C1750" s="89">
        <v>2519193</v>
      </c>
      <c r="D1750" s="89" t="s">
        <v>663</v>
      </c>
    </row>
    <row r="1751" spans="1:4" x14ac:dyDescent="0.25">
      <c r="A1751" s="89" t="s">
        <v>96</v>
      </c>
      <c r="B1751" s="89" t="s">
        <v>617</v>
      </c>
      <c r="C1751" s="89">
        <v>-43946.14</v>
      </c>
      <c r="D1751" s="89" t="s">
        <v>664</v>
      </c>
    </row>
    <row r="1752" spans="1:4" x14ac:dyDescent="0.25">
      <c r="A1752" s="89" t="s">
        <v>96</v>
      </c>
      <c r="B1752" s="89" t="s">
        <v>617</v>
      </c>
      <c r="C1752" s="89">
        <v>17729647</v>
      </c>
      <c r="D1752" s="89" t="s">
        <v>664</v>
      </c>
    </row>
    <row r="1753" spans="1:4" x14ac:dyDescent="0.25">
      <c r="A1753" s="89" t="s">
        <v>96</v>
      </c>
      <c r="B1753" s="89" t="s">
        <v>617</v>
      </c>
      <c r="C1753" s="89">
        <v>1068882</v>
      </c>
      <c r="D1753" s="89" t="s">
        <v>663</v>
      </c>
    </row>
    <row r="1754" spans="1:4" x14ac:dyDescent="0.25">
      <c r="A1754" s="89" t="s">
        <v>96</v>
      </c>
      <c r="B1754" s="89" t="s">
        <v>617</v>
      </c>
      <c r="C1754" s="89">
        <v>3442348</v>
      </c>
      <c r="D1754" s="89" t="s">
        <v>664</v>
      </c>
    </row>
    <row r="1755" spans="1:4" x14ac:dyDescent="0.25">
      <c r="A1755" s="89" t="s">
        <v>96</v>
      </c>
      <c r="B1755" s="89" t="s">
        <v>617</v>
      </c>
      <c r="C1755" s="89">
        <v>153777</v>
      </c>
      <c r="D1755" s="89" t="s">
        <v>664</v>
      </c>
    </row>
    <row r="1756" spans="1:4" x14ac:dyDescent="0.25">
      <c r="A1756" s="89" t="s">
        <v>96</v>
      </c>
      <c r="B1756" s="89" t="s">
        <v>617</v>
      </c>
      <c r="C1756" s="89">
        <v>154702</v>
      </c>
      <c r="D1756" s="89" t="s">
        <v>666</v>
      </c>
    </row>
    <row r="1757" spans="1:4" x14ac:dyDescent="0.25">
      <c r="A1757" s="89" t="s">
        <v>96</v>
      </c>
      <c r="B1757" s="89" t="s">
        <v>617</v>
      </c>
      <c r="C1757" s="89">
        <v>1051236</v>
      </c>
      <c r="D1757" s="89" t="s">
        <v>664</v>
      </c>
    </row>
    <row r="1758" spans="1:4" x14ac:dyDescent="0.25">
      <c r="A1758" s="89" t="s">
        <v>192</v>
      </c>
      <c r="B1758" s="89" t="s">
        <v>639</v>
      </c>
      <c r="C1758" s="89">
        <v>159683</v>
      </c>
      <c r="D1758" s="89" t="s">
        <v>663</v>
      </c>
    </row>
    <row r="1759" spans="1:4" x14ac:dyDescent="0.25">
      <c r="A1759" s="89" t="s">
        <v>192</v>
      </c>
      <c r="B1759" s="89" t="s">
        <v>639</v>
      </c>
      <c r="C1759" s="89">
        <v>1141985.31</v>
      </c>
      <c r="D1759" s="89" t="s">
        <v>663</v>
      </c>
    </row>
    <row r="1760" spans="1:4" x14ac:dyDescent="0.25">
      <c r="A1760" s="89" t="s">
        <v>192</v>
      </c>
      <c r="B1760" s="89" t="s">
        <v>639</v>
      </c>
      <c r="C1760" s="89">
        <v>821730.36</v>
      </c>
      <c r="D1760" s="89" t="s">
        <v>663</v>
      </c>
    </row>
    <row r="1761" spans="1:4" x14ac:dyDescent="0.25">
      <c r="A1761" s="89" t="s">
        <v>192</v>
      </c>
      <c r="B1761" s="89" t="s">
        <v>639</v>
      </c>
      <c r="C1761" s="89">
        <v>294455</v>
      </c>
      <c r="D1761" s="89" t="s">
        <v>663</v>
      </c>
    </row>
    <row r="1762" spans="1:4" x14ac:dyDescent="0.25">
      <c r="A1762" s="89" t="s">
        <v>192</v>
      </c>
      <c r="B1762" s="89" t="s">
        <v>639</v>
      </c>
      <c r="C1762" s="89">
        <v>1198311.3400000001</v>
      </c>
      <c r="D1762" s="89" t="s">
        <v>663</v>
      </c>
    </row>
    <row r="1763" spans="1:4" x14ac:dyDescent="0.25">
      <c r="A1763" s="89" t="s">
        <v>192</v>
      </c>
      <c r="B1763" s="89" t="s">
        <v>639</v>
      </c>
      <c r="C1763" s="89">
        <v>1512.07</v>
      </c>
      <c r="D1763" s="89" t="s">
        <v>663</v>
      </c>
    </row>
    <row r="1764" spans="1:4" x14ac:dyDescent="0.25">
      <c r="A1764" s="89" t="s">
        <v>192</v>
      </c>
      <c r="B1764" s="89" t="s">
        <v>639</v>
      </c>
      <c r="C1764" s="89">
        <v>1002625</v>
      </c>
      <c r="D1764" s="89" t="s">
        <v>663</v>
      </c>
    </row>
    <row r="1765" spans="1:4" x14ac:dyDescent="0.25">
      <c r="A1765" s="89" t="s">
        <v>192</v>
      </c>
      <c r="B1765" s="89" t="s">
        <v>639</v>
      </c>
      <c r="C1765" s="89">
        <v>451865.57</v>
      </c>
      <c r="D1765" s="89" t="s">
        <v>663</v>
      </c>
    </row>
    <row r="1766" spans="1:4" x14ac:dyDescent="0.25">
      <c r="A1766" s="89" t="s">
        <v>192</v>
      </c>
      <c r="B1766" s="89" t="s">
        <v>639</v>
      </c>
      <c r="C1766" s="89">
        <v>1405928.36</v>
      </c>
      <c r="D1766" s="89" t="s">
        <v>663</v>
      </c>
    </row>
    <row r="1767" spans="1:4" x14ac:dyDescent="0.25">
      <c r="A1767" s="89" t="s">
        <v>192</v>
      </c>
      <c r="B1767" s="89" t="s">
        <v>639</v>
      </c>
      <c r="C1767" s="89">
        <v>205165</v>
      </c>
      <c r="D1767" s="89" t="s">
        <v>663</v>
      </c>
    </row>
    <row r="1768" spans="1:4" x14ac:dyDescent="0.25">
      <c r="A1768" s="89" t="s">
        <v>192</v>
      </c>
      <c r="B1768" s="89" t="s">
        <v>639</v>
      </c>
      <c r="C1768" s="89">
        <v>971916</v>
      </c>
      <c r="D1768" s="89" t="s">
        <v>663</v>
      </c>
    </row>
    <row r="1769" spans="1:4" x14ac:dyDescent="0.25">
      <c r="A1769" s="89" t="s">
        <v>192</v>
      </c>
      <c r="B1769" s="89" t="s">
        <v>639</v>
      </c>
      <c r="C1769" s="89">
        <v>-7530.26</v>
      </c>
      <c r="D1769" s="89" t="s">
        <v>663</v>
      </c>
    </row>
    <row r="1770" spans="1:4" x14ac:dyDescent="0.25">
      <c r="A1770" s="89" t="s">
        <v>192</v>
      </c>
      <c r="B1770" s="89" t="s">
        <v>639</v>
      </c>
      <c r="C1770" s="89">
        <v>2835628.47</v>
      </c>
      <c r="D1770" s="89" t="s">
        <v>663</v>
      </c>
    </row>
    <row r="1771" spans="1:4" x14ac:dyDescent="0.25">
      <c r="A1771" s="89" t="s">
        <v>95</v>
      </c>
      <c r="B1771" s="89" t="s">
        <v>617</v>
      </c>
      <c r="C1771" s="89">
        <v>16994448.039999999</v>
      </c>
      <c r="D1771" s="89" t="s">
        <v>664</v>
      </c>
    </row>
    <row r="1772" spans="1:4" x14ac:dyDescent="0.25">
      <c r="A1772" s="89" t="s">
        <v>95</v>
      </c>
      <c r="B1772" s="89" t="s">
        <v>617</v>
      </c>
      <c r="C1772" s="89">
        <v>14637646</v>
      </c>
      <c r="D1772" s="89" t="s">
        <v>664</v>
      </c>
    </row>
    <row r="1773" spans="1:4" x14ac:dyDescent="0.25">
      <c r="A1773" s="89" t="s">
        <v>95</v>
      </c>
      <c r="B1773" s="89" t="s">
        <v>617</v>
      </c>
      <c r="C1773" s="89">
        <v>18047200</v>
      </c>
      <c r="D1773" s="89" t="s">
        <v>664</v>
      </c>
    </row>
    <row r="1774" spans="1:4" x14ac:dyDescent="0.25">
      <c r="A1774" s="89" t="s">
        <v>95</v>
      </c>
      <c r="B1774" s="89" t="s">
        <v>617</v>
      </c>
      <c r="C1774" s="89">
        <v>19390093</v>
      </c>
      <c r="D1774" s="89" t="s">
        <v>663</v>
      </c>
    </row>
    <row r="1775" spans="1:4" x14ac:dyDescent="0.25">
      <c r="A1775" s="89" t="s">
        <v>95</v>
      </c>
      <c r="B1775" s="89" t="s">
        <v>617</v>
      </c>
      <c r="C1775" s="89">
        <v>4364731</v>
      </c>
      <c r="D1775" s="89" t="s">
        <v>666</v>
      </c>
    </row>
    <row r="1776" spans="1:4" x14ac:dyDescent="0.25">
      <c r="A1776" s="89" t="s">
        <v>95</v>
      </c>
      <c r="B1776" s="89" t="s">
        <v>617</v>
      </c>
      <c r="C1776" s="89">
        <v>11246411.68</v>
      </c>
      <c r="D1776" s="89" t="s">
        <v>663</v>
      </c>
    </row>
    <row r="1777" spans="1:4" x14ac:dyDescent="0.25">
      <c r="A1777" s="89" t="s">
        <v>95</v>
      </c>
      <c r="B1777" s="89" t="s">
        <v>617</v>
      </c>
      <c r="C1777" s="89">
        <v>20395506</v>
      </c>
      <c r="D1777" s="89" t="s">
        <v>664</v>
      </c>
    </row>
    <row r="1778" spans="1:4" x14ac:dyDescent="0.25">
      <c r="A1778" s="89" t="s">
        <v>95</v>
      </c>
      <c r="B1778" s="89" t="s">
        <v>617</v>
      </c>
      <c r="C1778" s="89">
        <v>21344947</v>
      </c>
      <c r="D1778" s="89" t="s">
        <v>663</v>
      </c>
    </row>
    <row r="1779" spans="1:4" x14ac:dyDescent="0.25">
      <c r="A1779" s="89" t="s">
        <v>95</v>
      </c>
      <c r="B1779" s="89" t="s">
        <v>617</v>
      </c>
      <c r="C1779" s="89">
        <v>5314278</v>
      </c>
      <c r="D1779" s="89" t="s">
        <v>664</v>
      </c>
    </row>
    <row r="1780" spans="1:4" x14ac:dyDescent="0.25">
      <c r="A1780" s="89" t="s">
        <v>95</v>
      </c>
      <c r="B1780" s="89" t="s">
        <v>617</v>
      </c>
      <c r="C1780" s="89">
        <v>2229835</v>
      </c>
      <c r="D1780" s="89" t="s">
        <v>666</v>
      </c>
    </row>
    <row r="1781" spans="1:4" x14ac:dyDescent="0.25">
      <c r="A1781" s="89" t="s">
        <v>95</v>
      </c>
      <c r="B1781" s="89" t="s">
        <v>617</v>
      </c>
      <c r="C1781" s="89">
        <v>9394964.3200000003</v>
      </c>
      <c r="D1781" s="89" t="s">
        <v>663</v>
      </c>
    </row>
    <row r="1782" spans="1:4" x14ac:dyDescent="0.25">
      <c r="A1782" s="89" t="s">
        <v>95</v>
      </c>
      <c r="B1782" s="89" t="s">
        <v>617</v>
      </c>
      <c r="C1782" s="89">
        <v>1257377.93</v>
      </c>
      <c r="D1782" s="89" t="s">
        <v>663</v>
      </c>
    </row>
    <row r="1783" spans="1:4" x14ac:dyDescent="0.25">
      <c r="A1783" s="89" t="s">
        <v>95</v>
      </c>
      <c r="B1783" s="89" t="s">
        <v>617</v>
      </c>
      <c r="C1783" s="89">
        <v>13362426</v>
      </c>
      <c r="D1783" s="89" t="s">
        <v>663</v>
      </c>
    </row>
    <row r="1784" spans="1:4" x14ac:dyDescent="0.25">
      <c r="A1784" s="89" t="s">
        <v>95</v>
      </c>
      <c r="B1784" s="89" t="s">
        <v>617</v>
      </c>
      <c r="C1784" s="89">
        <v>20354544</v>
      </c>
      <c r="D1784" s="89" t="s">
        <v>664</v>
      </c>
    </row>
    <row r="1785" spans="1:4" x14ac:dyDescent="0.25">
      <c r="A1785" s="89" t="s">
        <v>95</v>
      </c>
      <c r="B1785" s="89" t="s">
        <v>617</v>
      </c>
      <c r="C1785" s="89">
        <v>4358452</v>
      </c>
      <c r="D1785" s="89" t="s">
        <v>666</v>
      </c>
    </row>
    <row r="1786" spans="1:4" x14ac:dyDescent="0.25">
      <c r="A1786" s="89" t="s">
        <v>95</v>
      </c>
      <c r="B1786" s="89" t="s">
        <v>617</v>
      </c>
      <c r="C1786" s="89">
        <v>3266340.42</v>
      </c>
      <c r="D1786" s="89" t="s">
        <v>664</v>
      </c>
    </row>
    <row r="1787" spans="1:4" x14ac:dyDescent="0.25">
      <c r="A1787" s="89" t="s">
        <v>95</v>
      </c>
      <c r="B1787" s="89" t="s">
        <v>617</v>
      </c>
      <c r="C1787" s="89">
        <v>27191323</v>
      </c>
      <c r="D1787" s="89" t="s">
        <v>664</v>
      </c>
    </row>
    <row r="1788" spans="1:4" x14ac:dyDescent="0.25">
      <c r="A1788" s="89" t="s">
        <v>95</v>
      </c>
      <c r="B1788" s="89" t="s">
        <v>617</v>
      </c>
      <c r="C1788" s="89">
        <v>1543880</v>
      </c>
      <c r="D1788" s="89" t="s">
        <v>663</v>
      </c>
    </row>
    <row r="1789" spans="1:4" x14ac:dyDescent="0.25">
      <c r="A1789" s="89" t="s">
        <v>95</v>
      </c>
      <c r="B1789" s="89" t="s">
        <v>617</v>
      </c>
      <c r="C1789" s="89">
        <v>33177877</v>
      </c>
      <c r="D1789" s="89" t="s">
        <v>664</v>
      </c>
    </row>
    <row r="1790" spans="1:4" x14ac:dyDescent="0.25">
      <c r="A1790" s="89" t="s">
        <v>95</v>
      </c>
      <c r="B1790" s="89" t="s">
        <v>617</v>
      </c>
      <c r="C1790" s="89">
        <v>18035758</v>
      </c>
      <c r="D1790" s="89" t="s">
        <v>663</v>
      </c>
    </row>
    <row r="1791" spans="1:4" x14ac:dyDescent="0.25">
      <c r="A1791" s="89" t="s">
        <v>95</v>
      </c>
      <c r="B1791" s="89" t="s">
        <v>617</v>
      </c>
      <c r="C1791" s="89">
        <v>30563859</v>
      </c>
      <c r="D1791" s="89" t="s">
        <v>664</v>
      </c>
    </row>
    <row r="1792" spans="1:4" x14ac:dyDescent="0.25">
      <c r="A1792" s="89" t="s">
        <v>95</v>
      </c>
      <c r="B1792" s="89" t="s">
        <v>617</v>
      </c>
      <c r="C1792" s="89">
        <v>20951243.5</v>
      </c>
      <c r="D1792" s="89" t="s">
        <v>663</v>
      </c>
    </row>
    <row r="1793" spans="1:4" x14ac:dyDescent="0.25">
      <c r="A1793" s="89" t="s">
        <v>95</v>
      </c>
      <c r="B1793" s="89" t="s">
        <v>617</v>
      </c>
      <c r="C1793" s="89">
        <v>6499962.5999999996</v>
      </c>
      <c r="D1793" s="89" t="s">
        <v>666</v>
      </c>
    </row>
    <row r="1794" spans="1:4" x14ac:dyDescent="0.25">
      <c r="A1794" s="89" t="s">
        <v>95</v>
      </c>
      <c r="B1794" s="89" t="s">
        <v>617</v>
      </c>
      <c r="C1794" s="89">
        <v>13081244.65</v>
      </c>
      <c r="D1794" s="89" t="s">
        <v>664</v>
      </c>
    </row>
    <row r="1795" spans="1:4" x14ac:dyDescent="0.25">
      <c r="A1795" s="89" t="s">
        <v>95</v>
      </c>
      <c r="B1795" s="89" t="s">
        <v>617</v>
      </c>
      <c r="C1795" s="89">
        <v>4338327</v>
      </c>
      <c r="D1795" s="89" t="s">
        <v>664</v>
      </c>
    </row>
    <row r="1796" spans="1:4" x14ac:dyDescent="0.25">
      <c r="A1796" s="89" t="s">
        <v>95</v>
      </c>
      <c r="B1796" s="89" t="s">
        <v>617</v>
      </c>
      <c r="C1796" s="89">
        <v>71851.19</v>
      </c>
      <c r="D1796" s="89" t="s">
        <v>666</v>
      </c>
    </row>
    <row r="1797" spans="1:4" x14ac:dyDescent="0.25">
      <c r="A1797" s="89" t="s">
        <v>95</v>
      </c>
      <c r="B1797" s="89" t="s">
        <v>617</v>
      </c>
      <c r="C1797" s="89">
        <v>2676714</v>
      </c>
      <c r="D1797" s="89" t="s">
        <v>663</v>
      </c>
    </row>
    <row r="1798" spans="1:4" x14ac:dyDescent="0.25">
      <c r="A1798" s="89" t="s">
        <v>95</v>
      </c>
      <c r="B1798" s="89" t="s">
        <v>617</v>
      </c>
      <c r="C1798" s="89">
        <v>3089816</v>
      </c>
      <c r="D1798" s="89" t="s">
        <v>663</v>
      </c>
    </row>
    <row r="1799" spans="1:4" x14ac:dyDescent="0.25">
      <c r="A1799" s="89" t="s">
        <v>95</v>
      </c>
      <c r="B1799" s="89" t="s">
        <v>617</v>
      </c>
      <c r="C1799" s="89">
        <v>114918644</v>
      </c>
      <c r="D1799" s="89" t="s">
        <v>663</v>
      </c>
    </row>
    <row r="1800" spans="1:4" x14ac:dyDescent="0.25">
      <c r="A1800" s="89" t="s">
        <v>95</v>
      </c>
      <c r="B1800" s="89" t="s">
        <v>617</v>
      </c>
      <c r="C1800" s="89">
        <v>5755224.3499999996</v>
      </c>
      <c r="D1800" s="89" t="s">
        <v>664</v>
      </c>
    </row>
    <row r="1801" spans="1:4" x14ac:dyDescent="0.25">
      <c r="A1801" s="89" t="s">
        <v>95</v>
      </c>
      <c r="B1801" s="89" t="s">
        <v>617</v>
      </c>
      <c r="C1801" s="89">
        <v>39000738</v>
      </c>
      <c r="D1801" s="89" t="s">
        <v>664</v>
      </c>
    </row>
    <row r="1802" spans="1:4" x14ac:dyDescent="0.25">
      <c r="A1802" s="89" t="s">
        <v>95</v>
      </c>
      <c r="B1802" s="89" t="s">
        <v>617</v>
      </c>
      <c r="C1802" s="89">
        <v>6502930</v>
      </c>
      <c r="D1802" s="89" t="s">
        <v>666</v>
      </c>
    </row>
    <row r="1803" spans="1:4" x14ac:dyDescent="0.25">
      <c r="A1803" s="89" t="s">
        <v>95</v>
      </c>
      <c r="B1803" s="89" t="s">
        <v>617</v>
      </c>
      <c r="C1803" s="89">
        <v>17891589</v>
      </c>
      <c r="D1803" s="89" t="s">
        <v>664</v>
      </c>
    </row>
    <row r="1804" spans="1:4" x14ac:dyDescent="0.25">
      <c r="A1804" s="89" t="s">
        <v>95</v>
      </c>
      <c r="B1804" s="89" t="s">
        <v>617</v>
      </c>
      <c r="C1804" s="89">
        <v>14938894</v>
      </c>
      <c r="D1804" s="89" t="s">
        <v>663</v>
      </c>
    </row>
    <row r="1805" spans="1:4" x14ac:dyDescent="0.25">
      <c r="A1805" s="89" t="s">
        <v>95</v>
      </c>
      <c r="B1805" s="89" t="s">
        <v>617</v>
      </c>
      <c r="C1805" s="89">
        <v>22443435</v>
      </c>
      <c r="D1805" s="89" t="s">
        <v>663</v>
      </c>
    </row>
    <row r="1806" spans="1:4" x14ac:dyDescent="0.25">
      <c r="A1806" s="89" t="s">
        <v>95</v>
      </c>
      <c r="B1806" s="89" t="s">
        <v>617</v>
      </c>
      <c r="C1806" s="89">
        <v>35541100</v>
      </c>
      <c r="D1806" s="89" t="s">
        <v>663</v>
      </c>
    </row>
    <row r="1807" spans="1:4" x14ac:dyDescent="0.25">
      <c r="A1807" s="89" t="s">
        <v>95</v>
      </c>
      <c r="B1807" s="89" t="s">
        <v>617</v>
      </c>
      <c r="C1807" s="89">
        <v>5236147</v>
      </c>
      <c r="D1807" s="89" t="s">
        <v>663</v>
      </c>
    </row>
    <row r="1808" spans="1:4" x14ac:dyDescent="0.25">
      <c r="A1808" s="89" t="s">
        <v>95</v>
      </c>
      <c r="B1808" s="89" t="s">
        <v>617</v>
      </c>
      <c r="C1808" s="89">
        <v>2229835</v>
      </c>
      <c r="D1808" s="89" t="s">
        <v>666</v>
      </c>
    </row>
    <row r="1809" spans="1:4" x14ac:dyDescent="0.25">
      <c r="A1809" s="89" t="s">
        <v>95</v>
      </c>
      <c r="B1809" s="89" t="s">
        <v>617</v>
      </c>
      <c r="C1809" s="89">
        <v>14709144</v>
      </c>
      <c r="D1809" s="89" t="s">
        <v>664</v>
      </c>
    </row>
    <row r="1810" spans="1:4" x14ac:dyDescent="0.25">
      <c r="A1810" s="89" t="s">
        <v>95</v>
      </c>
      <c r="B1810" s="89" t="s">
        <v>617</v>
      </c>
      <c r="C1810" s="89">
        <v>19099970</v>
      </c>
      <c r="D1810" s="89" t="s">
        <v>663</v>
      </c>
    </row>
    <row r="1811" spans="1:4" x14ac:dyDescent="0.25">
      <c r="A1811" s="89" t="s">
        <v>95</v>
      </c>
      <c r="B1811" s="89" t="s">
        <v>617</v>
      </c>
      <c r="C1811" s="89">
        <v>56769697</v>
      </c>
      <c r="D1811" s="89" t="s">
        <v>663</v>
      </c>
    </row>
    <row r="1812" spans="1:4" x14ac:dyDescent="0.25">
      <c r="A1812" s="89" t="s">
        <v>95</v>
      </c>
      <c r="B1812" s="89" t="s">
        <v>617</v>
      </c>
      <c r="C1812" s="89">
        <v>80101321.5</v>
      </c>
      <c r="D1812" s="89" t="s">
        <v>663</v>
      </c>
    </row>
    <row r="1813" spans="1:4" x14ac:dyDescent="0.25">
      <c r="A1813" s="89" t="s">
        <v>95</v>
      </c>
      <c r="B1813" s="89" t="s">
        <v>617</v>
      </c>
      <c r="C1813" s="89">
        <v>3519970</v>
      </c>
      <c r="D1813" s="89" t="s">
        <v>666</v>
      </c>
    </row>
    <row r="1814" spans="1:4" x14ac:dyDescent="0.25">
      <c r="A1814" s="89" t="s">
        <v>95</v>
      </c>
      <c r="B1814" s="89" t="s">
        <v>617</v>
      </c>
      <c r="C1814" s="89">
        <v>20487052.300000001</v>
      </c>
      <c r="D1814" s="89" t="s">
        <v>663</v>
      </c>
    </row>
    <row r="1815" spans="1:4" x14ac:dyDescent="0.25">
      <c r="A1815" s="89" t="s">
        <v>95</v>
      </c>
      <c r="B1815" s="89" t="s">
        <v>617</v>
      </c>
      <c r="C1815" s="89">
        <v>32873968.870000001</v>
      </c>
      <c r="D1815" s="89" t="s">
        <v>663</v>
      </c>
    </row>
    <row r="1816" spans="1:4" x14ac:dyDescent="0.25">
      <c r="A1816" s="89" t="s">
        <v>95</v>
      </c>
      <c r="B1816" s="89" t="s">
        <v>617</v>
      </c>
      <c r="C1816" s="89">
        <v>3138583.06</v>
      </c>
      <c r="D1816" s="89" t="s">
        <v>664</v>
      </c>
    </row>
    <row r="1817" spans="1:4" x14ac:dyDescent="0.25">
      <c r="A1817" s="89" t="s">
        <v>95</v>
      </c>
      <c r="B1817" s="89" t="s">
        <v>617</v>
      </c>
      <c r="C1817" s="89">
        <v>791142</v>
      </c>
      <c r="D1817" s="89" t="s">
        <v>663</v>
      </c>
    </row>
    <row r="1818" spans="1:4" x14ac:dyDescent="0.25">
      <c r="A1818" s="89" t="s">
        <v>95</v>
      </c>
      <c r="B1818" s="89" t="s">
        <v>617</v>
      </c>
      <c r="C1818" s="89">
        <v>100000</v>
      </c>
      <c r="D1818" s="89" t="s">
        <v>666</v>
      </c>
    </row>
    <row r="1819" spans="1:4" x14ac:dyDescent="0.25">
      <c r="A1819" s="89" t="s">
        <v>95</v>
      </c>
      <c r="B1819" s="89" t="s">
        <v>617</v>
      </c>
      <c r="C1819" s="89">
        <v>2986743.56</v>
      </c>
      <c r="D1819" s="89" t="s">
        <v>663</v>
      </c>
    </row>
    <row r="1820" spans="1:4" x14ac:dyDescent="0.25">
      <c r="A1820" s="89" t="s">
        <v>95</v>
      </c>
      <c r="B1820" s="89" t="s">
        <v>617</v>
      </c>
      <c r="C1820" s="89">
        <v>31343919.039999999</v>
      </c>
      <c r="D1820" s="89" t="s">
        <v>663</v>
      </c>
    </row>
    <row r="1821" spans="1:4" x14ac:dyDescent="0.25">
      <c r="A1821" s="89" t="s">
        <v>95</v>
      </c>
      <c r="B1821" s="89" t="s">
        <v>617</v>
      </c>
      <c r="C1821" s="89">
        <v>5858880.0300000003</v>
      </c>
      <c r="D1821" s="89" t="s">
        <v>663</v>
      </c>
    </row>
    <row r="1822" spans="1:4" x14ac:dyDescent="0.25">
      <c r="A1822" s="89" t="s">
        <v>95</v>
      </c>
      <c r="B1822" s="89" t="s">
        <v>617</v>
      </c>
      <c r="C1822" s="89">
        <v>49669118.130000003</v>
      </c>
      <c r="D1822" s="89" t="s">
        <v>663</v>
      </c>
    </row>
    <row r="1823" spans="1:4" x14ac:dyDescent="0.25">
      <c r="A1823" s="89" t="s">
        <v>95</v>
      </c>
      <c r="B1823" s="89" t="s">
        <v>617</v>
      </c>
      <c r="C1823" s="89">
        <v>5081504.21</v>
      </c>
      <c r="D1823" s="89" t="s">
        <v>666</v>
      </c>
    </row>
    <row r="1824" spans="1:4" x14ac:dyDescent="0.25">
      <c r="A1824" s="89" t="s">
        <v>95</v>
      </c>
      <c r="B1824" s="89" t="s">
        <v>617</v>
      </c>
      <c r="C1824" s="89">
        <v>8676949.5199999996</v>
      </c>
      <c r="D1824" s="89" t="s">
        <v>664</v>
      </c>
    </row>
    <row r="1825" spans="1:4" x14ac:dyDescent="0.25">
      <c r="A1825" s="89" t="s">
        <v>95</v>
      </c>
      <c r="B1825" s="89" t="s">
        <v>617</v>
      </c>
      <c r="C1825" s="89">
        <v>9013.58</v>
      </c>
      <c r="D1825" s="89" t="s">
        <v>664</v>
      </c>
    </row>
    <row r="1826" spans="1:4" x14ac:dyDescent="0.25">
      <c r="A1826" s="89" t="s">
        <v>95</v>
      </c>
      <c r="B1826" s="89" t="s">
        <v>617</v>
      </c>
      <c r="C1826" s="89">
        <v>4464975.4800000004</v>
      </c>
      <c r="D1826" s="89" t="s">
        <v>664</v>
      </c>
    </row>
    <row r="1827" spans="1:4" x14ac:dyDescent="0.25">
      <c r="A1827" s="89" t="s">
        <v>95</v>
      </c>
      <c r="B1827" s="89" t="s">
        <v>617</v>
      </c>
      <c r="C1827" s="89">
        <v>5394887</v>
      </c>
      <c r="D1827" s="89" t="s">
        <v>666</v>
      </c>
    </row>
    <row r="1828" spans="1:4" x14ac:dyDescent="0.25">
      <c r="A1828" s="89" t="s">
        <v>95</v>
      </c>
      <c r="B1828" s="89" t="s">
        <v>617</v>
      </c>
      <c r="C1828" s="89">
        <v>7899641.4400000004</v>
      </c>
      <c r="D1828" s="89" t="s">
        <v>664</v>
      </c>
    </row>
    <row r="1829" spans="1:4" x14ac:dyDescent="0.25">
      <c r="A1829" s="89" t="s">
        <v>95</v>
      </c>
      <c r="B1829" s="89" t="s">
        <v>617</v>
      </c>
      <c r="C1829" s="89">
        <v>2619376</v>
      </c>
      <c r="D1829" s="89" t="s">
        <v>663</v>
      </c>
    </row>
    <row r="1830" spans="1:4" x14ac:dyDescent="0.25">
      <c r="A1830" s="89" t="s">
        <v>95</v>
      </c>
      <c r="B1830" s="89" t="s">
        <v>617</v>
      </c>
      <c r="C1830" s="89">
        <v>50000</v>
      </c>
      <c r="D1830" s="89" t="s">
        <v>666</v>
      </c>
    </row>
    <row r="1831" spans="1:4" x14ac:dyDescent="0.25">
      <c r="A1831" s="89" t="s">
        <v>95</v>
      </c>
      <c r="B1831" s="89" t="s">
        <v>617</v>
      </c>
      <c r="C1831" s="89">
        <v>2724000</v>
      </c>
      <c r="D1831" s="89" t="s">
        <v>665</v>
      </c>
    </row>
    <row r="1832" spans="1:4" x14ac:dyDescent="0.25">
      <c r="A1832" s="89" t="s">
        <v>95</v>
      </c>
      <c r="B1832" s="89" t="s">
        <v>617</v>
      </c>
      <c r="C1832" s="89">
        <v>733833</v>
      </c>
      <c r="D1832" s="89" t="s">
        <v>663</v>
      </c>
    </row>
    <row r="1833" spans="1:4" x14ac:dyDescent="0.25">
      <c r="A1833" s="89" t="s">
        <v>95</v>
      </c>
      <c r="B1833" s="89" t="s">
        <v>617</v>
      </c>
      <c r="C1833" s="89">
        <v>73027491</v>
      </c>
      <c r="D1833" s="89" t="s">
        <v>663</v>
      </c>
    </row>
    <row r="1834" spans="1:4" x14ac:dyDescent="0.25">
      <c r="A1834" s="89" t="s">
        <v>95</v>
      </c>
      <c r="B1834" s="89" t="s">
        <v>617</v>
      </c>
      <c r="C1834" s="89">
        <v>2893740</v>
      </c>
      <c r="D1834" s="89" t="s">
        <v>663</v>
      </c>
    </row>
    <row r="1835" spans="1:4" x14ac:dyDescent="0.25">
      <c r="A1835" s="89" t="s">
        <v>95</v>
      </c>
      <c r="B1835" s="89" t="s">
        <v>617</v>
      </c>
      <c r="C1835" s="89">
        <v>1820340</v>
      </c>
      <c r="D1835" s="89" t="s">
        <v>665</v>
      </c>
    </row>
    <row r="1836" spans="1:4" x14ac:dyDescent="0.25">
      <c r="A1836" s="89" t="s">
        <v>95</v>
      </c>
      <c r="B1836" s="89" t="s">
        <v>617</v>
      </c>
      <c r="C1836" s="89">
        <v>12673952.539999999</v>
      </c>
      <c r="D1836" s="89" t="s">
        <v>666</v>
      </c>
    </row>
    <row r="1837" spans="1:4" x14ac:dyDescent="0.25">
      <c r="A1837" s="89" t="s">
        <v>95</v>
      </c>
      <c r="B1837" s="89" t="s">
        <v>617</v>
      </c>
      <c r="C1837" s="89">
        <v>4345454</v>
      </c>
      <c r="D1837" s="89" t="s">
        <v>663</v>
      </c>
    </row>
    <row r="1838" spans="1:4" x14ac:dyDescent="0.25">
      <c r="A1838" s="89" t="s">
        <v>191</v>
      </c>
      <c r="B1838" s="89" t="s">
        <v>616</v>
      </c>
      <c r="C1838" s="89">
        <v>2272754</v>
      </c>
      <c r="D1838" s="89" t="s">
        <v>666</v>
      </c>
    </row>
    <row r="1839" spans="1:4" x14ac:dyDescent="0.25">
      <c r="A1839" s="89" t="s">
        <v>191</v>
      </c>
      <c r="B1839" s="89" t="s">
        <v>616</v>
      </c>
      <c r="C1839" s="89">
        <v>556558.93999999994</v>
      </c>
      <c r="D1839" s="89" t="s">
        <v>666</v>
      </c>
    </row>
    <row r="1840" spans="1:4" x14ac:dyDescent="0.25">
      <c r="A1840" s="89" t="s">
        <v>191</v>
      </c>
      <c r="B1840" s="89" t="s">
        <v>616</v>
      </c>
      <c r="C1840" s="89">
        <v>642461</v>
      </c>
      <c r="D1840" s="89" t="s">
        <v>666</v>
      </c>
    </row>
    <row r="1841" spans="1:4" x14ac:dyDescent="0.25">
      <c r="A1841" s="89" t="s">
        <v>188</v>
      </c>
      <c r="B1841" s="89" t="s">
        <v>615</v>
      </c>
      <c r="C1841" s="89">
        <v>1035126</v>
      </c>
      <c r="D1841" s="89" t="s">
        <v>664</v>
      </c>
    </row>
    <row r="1842" spans="1:4" x14ac:dyDescent="0.25">
      <c r="A1842" s="89" t="s">
        <v>188</v>
      </c>
      <c r="B1842" s="89" t="s">
        <v>615</v>
      </c>
      <c r="C1842" s="89">
        <v>406988</v>
      </c>
      <c r="D1842" s="89" t="s">
        <v>663</v>
      </c>
    </row>
    <row r="1843" spans="1:4" x14ac:dyDescent="0.25">
      <c r="A1843" s="89" t="s">
        <v>188</v>
      </c>
      <c r="B1843" s="89" t="s">
        <v>615</v>
      </c>
      <c r="C1843" s="89">
        <v>813625</v>
      </c>
      <c r="D1843" s="89" t="s">
        <v>664</v>
      </c>
    </row>
    <row r="1844" spans="1:4" x14ac:dyDescent="0.25">
      <c r="A1844" s="89" t="s">
        <v>188</v>
      </c>
      <c r="B1844" s="89" t="s">
        <v>615</v>
      </c>
      <c r="C1844" s="89">
        <v>1476018</v>
      </c>
      <c r="D1844" s="89" t="s">
        <v>663</v>
      </c>
    </row>
    <row r="1845" spans="1:4" x14ac:dyDescent="0.25">
      <c r="A1845" s="89" t="s">
        <v>188</v>
      </c>
      <c r="B1845" s="89" t="s">
        <v>615</v>
      </c>
      <c r="C1845" s="89">
        <v>1848887.22</v>
      </c>
      <c r="D1845" s="89" t="s">
        <v>664</v>
      </c>
    </row>
    <row r="1846" spans="1:4" x14ac:dyDescent="0.25">
      <c r="A1846" s="89" t="s">
        <v>188</v>
      </c>
      <c r="B1846" s="89" t="s">
        <v>615</v>
      </c>
      <c r="C1846" s="89">
        <v>600000</v>
      </c>
      <c r="D1846" s="89" t="s">
        <v>664</v>
      </c>
    </row>
    <row r="1847" spans="1:4" x14ac:dyDescent="0.25">
      <c r="A1847" s="89" t="s">
        <v>188</v>
      </c>
      <c r="B1847" s="89" t="s">
        <v>615</v>
      </c>
      <c r="C1847" s="89">
        <v>361615</v>
      </c>
      <c r="D1847" s="89" t="s">
        <v>664</v>
      </c>
    </row>
    <row r="1848" spans="1:4" x14ac:dyDescent="0.25">
      <c r="A1848" s="89" t="s">
        <v>188</v>
      </c>
      <c r="B1848" s="89" t="s">
        <v>615</v>
      </c>
      <c r="C1848" s="89">
        <v>1129875</v>
      </c>
      <c r="D1848" s="89" t="s">
        <v>663</v>
      </c>
    </row>
    <row r="1849" spans="1:4" x14ac:dyDescent="0.25">
      <c r="A1849" s="89" t="s">
        <v>188</v>
      </c>
      <c r="B1849" s="89" t="s">
        <v>615</v>
      </c>
      <c r="C1849" s="89">
        <v>705834</v>
      </c>
      <c r="D1849" s="89" t="s">
        <v>664</v>
      </c>
    </row>
    <row r="1850" spans="1:4" x14ac:dyDescent="0.25">
      <c r="A1850" s="89" t="s">
        <v>188</v>
      </c>
      <c r="B1850" s="89" t="s">
        <v>615</v>
      </c>
      <c r="C1850" s="89">
        <v>1723612.8</v>
      </c>
      <c r="D1850" s="89" t="s">
        <v>664</v>
      </c>
    </row>
    <row r="1851" spans="1:4" x14ac:dyDescent="0.25">
      <c r="A1851" s="89" t="s">
        <v>188</v>
      </c>
      <c r="B1851" s="89" t="s">
        <v>615</v>
      </c>
      <c r="C1851" s="89">
        <v>153881.29</v>
      </c>
      <c r="D1851" s="89" t="s">
        <v>664</v>
      </c>
    </row>
    <row r="1852" spans="1:4" x14ac:dyDescent="0.25">
      <c r="A1852" s="89" t="s">
        <v>188</v>
      </c>
      <c r="B1852" s="89" t="s">
        <v>615</v>
      </c>
      <c r="C1852" s="89">
        <v>1981281.26</v>
      </c>
      <c r="D1852" s="89" t="s">
        <v>664</v>
      </c>
    </row>
    <row r="1853" spans="1:4" x14ac:dyDescent="0.25">
      <c r="A1853" s="89" t="s">
        <v>188</v>
      </c>
      <c r="B1853" s="89" t="s">
        <v>615</v>
      </c>
      <c r="C1853" s="89">
        <v>434905.75</v>
      </c>
      <c r="D1853" s="89" t="s">
        <v>664</v>
      </c>
    </row>
    <row r="1854" spans="1:4" x14ac:dyDescent="0.25">
      <c r="A1854" s="89" t="s">
        <v>188</v>
      </c>
      <c r="B1854" s="89" t="s">
        <v>615</v>
      </c>
      <c r="C1854" s="89">
        <v>1797515.24</v>
      </c>
      <c r="D1854" s="89" t="s">
        <v>663</v>
      </c>
    </row>
    <row r="1855" spans="1:4" x14ac:dyDescent="0.25">
      <c r="A1855" s="89" t="s">
        <v>188</v>
      </c>
      <c r="B1855" s="89" t="s">
        <v>615</v>
      </c>
      <c r="C1855" s="89">
        <v>373577</v>
      </c>
      <c r="D1855" s="89" t="s">
        <v>663</v>
      </c>
    </row>
    <row r="1856" spans="1:4" x14ac:dyDescent="0.25">
      <c r="A1856" s="89" t="s">
        <v>188</v>
      </c>
      <c r="B1856" s="89" t="s">
        <v>615</v>
      </c>
      <c r="C1856" s="89">
        <v>111235.35</v>
      </c>
      <c r="D1856" s="89" t="s">
        <v>664</v>
      </c>
    </row>
    <row r="1857" spans="1:4" x14ac:dyDescent="0.25">
      <c r="A1857" s="89" t="s">
        <v>188</v>
      </c>
      <c r="B1857" s="89" t="s">
        <v>615</v>
      </c>
      <c r="C1857" s="89">
        <v>33032.9</v>
      </c>
      <c r="D1857" s="89" t="s">
        <v>664</v>
      </c>
    </row>
    <row r="1858" spans="1:4" x14ac:dyDescent="0.25">
      <c r="A1858" s="89" t="s">
        <v>188</v>
      </c>
      <c r="B1858" s="89" t="s">
        <v>615</v>
      </c>
      <c r="C1858" s="89">
        <v>2491210</v>
      </c>
      <c r="D1858" s="89" t="s">
        <v>664</v>
      </c>
    </row>
    <row r="1859" spans="1:4" x14ac:dyDescent="0.25">
      <c r="A1859" s="89" t="s">
        <v>188</v>
      </c>
      <c r="B1859" s="89" t="s">
        <v>615</v>
      </c>
      <c r="C1859" s="89">
        <v>161495</v>
      </c>
      <c r="D1859" s="89" t="s">
        <v>663</v>
      </c>
    </row>
    <row r="1860" spans="1:4" x14ac:dyDescent="0.25">
      <c r="A1860" s="89" t="s">
        <v>188</v>
      </c>
      <c r="B1860" s="89" t="s">
        <v>615</v>
      </c>
      <c r="C1860" s="89">
        <v>1384659</v>
      </c>
      <c r="D1860" s="89" t="s">
        <v>664</v>
      </c>
    </row>
    <row r="1861" spans="1:4" x14ac:dyDescent="0.25">
      <c r="A1861" s="89" t="s">
        <v>188</v>
      </c>
      <c r="B1861" s="89" t="s">
        <v>615</v>
      </c>
      <c r="C1861" s="89">
        <v>549509</v>
      </c>
      <c r="D1861" s="89" t="s">
        <v>663</v>
      </c>
    </row>
    <row r="1862" spans="1:4" x14ac:dyDescent="0.25">
      <c r="A1862" s="89" t="s">
        <v>188</v>
      </c>
      <c r="B1862" s="89" t="s">
        <v>615</v>
      </c>
      <c r="C1862" s="89">
        <v>1224253</v>
      </c>
      <c r="D1862" s="89" t="s">
        <v>664</v>
      </c>
    </row>
    <row r="1863" spans="1:4" x14ac:dyDescent="0.25">
      <c r="A1863" s="89" t="s">
        <v>188</v>
      </c>
      <c r="B1863" s="89" t="s">
        <v>615</v>
      </c>
      <c r="C1863" s="89">
        <v>995505</v>
      </c>
      <c r="D1863" s="89" t="s">
        <v>663</v>
      </c>
    </row>
    <row r="1864" spans="1:4" x14ac:dyDescent="0.25">
      <c r="A1864" s="89" t="s">
        <v>188</v>
      </c>
      <c r="B1864" s="89" t="s">
        <v>615</v>
      </c>
      <c r="C1864" s="89">
        <v>709610.5</v>
      </c>
      <c r="D1864" s="89" t="s">
        <v>664</v>
      </c>
    </row>
    <row r="1865" spans="1:4" x14ac:dyDescent="0.25">
      <c r="A1865" s="89" t="s">
        <v>188</v>
      </c>
      <c r="B1865" s="89" t="s">
        <v>615</v>
      </c>
      <c r="C1865" s="89">
        <v>193645.54</v>
      </c>
      <c r="D1865" s="89" t="s">
        <v>664</v>
      </c>
    </row>
    <row r="1866" spans="1:4" x14ac:dyDescent="0.25">
      <c r="A1866" s="89" t="s">
        <v>188</v>
      </c>
      <c r="B1866" s="89" t="s">
        <v>615</v>
      </c>
      <c r="C1866" s="89">
        <v>3004245.95</v>
      </c>
      <c r="D1866" s="89" t="s">
        <v>663</v>
      </c>
    </row>
    <row r="1867" spans="1:4" x14ac:dyDescent="0.25">
      <c r="A1867" s="89" t="s">
        <v>188</v>
      </c>
      <c r="B1867" s="89" t="s">
        <v>615</v>
      </c>
      <c r="C1867" s="89">
        <v>590284.93999999994</v>
      </c>
      <c r="D1867" s="89" t="s">
        <v>664</v>
      </c>
    </row>
    <row r="1868" spans="1:4" x14ac:dyDescent="0.25">
      <c r="A1868" s="89" t="s">
        <v>188</v>
      </c>
      <c r="B1868" s="89" t="s">
        <v>615</v>
      </c>
      <c r="C1868" s="89">
        <v>382988.65</v>
      </c>
      <c r="D1868" s="89" t="s">
        <v>664</v>
      </c>
    </row>
    <row r="1869" spans="1:4" x14ac:dyDescent="0.25">
      <c r="A1869" s="89" t="s">
        <v>188</v>
      </c>
      <c r="B1869" s="89" t="s">
        <v>615</v>
      </c>
      <c r="C1869" s="89">
        <v>1295236.56</v>
      </c>
      <c r="D1869" s="89" t="s">
        <v>663</v>
      </c>
    </row>
    <row r="1870" spans="1:4" x14ac:dyDescent="0.25">
      <c r="A1870" s="89" t="s">
        <v>188</v>
      </c>
      <c r="B1870" s="89" t="s">
        <v>615</v>
      </c>
      <c r="C1870" s="89">
        <v>953883.34</v>
      </c>
      <c r="D1870" s="89" t="s">
        <v>663</v>
      </c>
    </row>
    <row r="1871" spans="1:4" x14ac:dyDescent="0.25">
      <c r="A1871" s="89" t="s">
        <v>188</v>
      </c>
      <c r="B1871" s="89" t="s">
        <v>615</v>
      </c>
      <c r="C1871" s="89">
        <v>759847.77</v>
      </c>
      <c r="D1871" s="89" t="s">
        <v>664</v>
      </c>
    </row>
    <row r="1872" spans="1:4" x14ac:dyDescent="0.25">
      <c r="A1872" s="89" t="s">
        <v>187</v>
      </c>
      <c r="B1872" s="89" t="s">
        <v>617</v>
      </c>
      <c r="C1872" s="89">
        <v>1091590</v>
      </c>
      <c r="D1872" s="89" t="s">
        <v>666</v>
      </c>
    </row>
    <row r="1873" spans="1:4" x14ac:dyDescent="0.25">
      <c r="A1873" s="89" t="s">
        <v>187</v>
      </c>
      <c r="B1873" s="89" t="s">
        <v>617</v>
      </c>
      <c r="C1873" s="89">
        <v>252998.87</v>
      </c>
      <c r="D1873" s="89" t="s">
        <v>664</v>
      </c>
    </row>
    <row r="1874" spans="1:4" x14ac:dyDescent="0.25">
      <c r="A1874" s="89" t="s">
        <v>187</v>
      </c>
      <c r="B1874" s="89" t="s">
        <v>617</v>
      </c>
      <c r="C1874" s="89">
        <v>721118.15</v>
      </c>
      <c r="D1874" s="89" t="s">
        <v>663</v>
      </c>
    </row>
    <row r="1875" spans="1:4" x14ac:dyDescent="0.25">
      <c r="A1875" s="89" t="s">
        <v>187</v>
      </c>
      <c r="B1875" s="89" t="s">
        <v>617</v>
      </c>
      <c r="C1875" s="89">
        <v>1456473</v>
      </c>
      <c r="D1875" s="89" t="s">
        <v>664</v>
      </c>
    </row>
    <row r="1876" spans="1:4" x14ac:dyDescent="0.25">
      <c r="A1876" s="89" t="s">
        <v>187</v>
      </c>
      <c r="B1876" s="89" t="s">
        <v>617</v>
      </c>
      <c r="C1876" s="89">
        <v>1267151</v>
      </c>
      <c r="D1876" s="89" t="s">
        <v>663</v>
      </c>
    </row>
    <row r="1877" spans="1:4" x14ac:dyDescent="0.25">
      <c r="A1877" s="89" t="s">
        <v>187</v>
      </c>
      <c r="B1877" s="89" t="s">
        <v>617</v>
      </c>
      <c r="C1877" s="89">
        <v>302357</v>
      </c>
      <c r="D1877" s="89" t="s">
        <v>664</v>
      </c>
    </row>
    <row r="1878" spans="1:4" x14ac:dyDescent="0.25">
      <c r="A1878" s="89" t="s">
        <v>187</v>
      </c>
      <c r="B1878" s="89" t="s">
        <v>617</v>
      </c>
      <c r="C1878" s="89">
        <v>451248</v>
      </c>
      <c r="D1878" s="89" t="s">
        <v>663</v>
      </c>
    </row>
    <row r="1879" spans="1:4" x14ac:dyDescent="0.25">
      <c r="A1879" s="89" t="s">
        <v>187</v>
      </c>
      <c r="B1879" s="89" t="s">
        <v>617</v>
      </c>
      <c r="C1879" s="89">
        <v>1648356</v>
      </c>
      <c r="D1879" s="89" t="s">
        <v>664</v>
      </c>
    </row>
    <row r="1880" spans="1:4" x14ac:dyDescent="0.25">
      <c r="A1880" s="89" t="s">
        <v>187</v>
      </c>
      <c r="B1880" s="89" t="s">
        <v>617</v>
      </c>
      <c r="C1880" s="89">
        <v>1986999</v>
      </c>
      <c r="D1880" s="89" t="s">
        <v>663</v>
      </c>
    </row>
    <row r="1881" spans="1:4" x14ac:dyDescent="0.25">
      <c r="A1881" s="89" t="s">
        <v>187</v>
      </c>
      <c r="B1881" s="89" t="s">
        <v>617</v>
      </c>
      <c r="C1881" s="89">
        <v>318133</v>
      </c>
      <c r="D1881" s="89" t="s">
        <v>663</v>
      </c>
    </row>
    <row r="1882" spans="1:4" x14ac:dyDescent="0.25">
      <c r="A1882" s="89" t="s">
        <v>187</v>
      </c>
      <c r="B1882" s="89" t="s">
        <v>617</v>
      </c>
      <c r="C1882" s="89">
        <v>153365</v>
      </c>
      <c r="D1882" s="89" t="s">
        <v>664</v>
      </c>
    </row>
    <row r="1883" spans="1:4" x14ac:dyDescent="0.25">
      <c r="A1883" s="89" t="s">
        <v>187</v>
      </c>
      <c r="B1883" s="89" t="s">
        <v>617</v>
      </c>
      <c r="C1883" s="89">
        <v>859287</v>
      </c>
      <c r="D1883" s="89" t="s">
        <v>664</v>
      </c>
    </row>
    <row r="1884" spans="1:4" x14ac:dyDescent="0.25">
      <c r="A1884" s="89" t="s">
        <v>187</v>
      </c>
      <c r="B1884" s="89" t="s">
        <v>617</v>
      </c>
      <c r="C1884" s="89">
        <v>721363</v>
      </c>
      <c r="D1884" s="89" t="s">
        <v>663</v>
      </c>
    </row>
    <row r="1885" spans="1:4" x14ac:dyDescent="0.25">
      <c r="A1885" s="89" t="s">
        <v>187</v>
      </c>
      <c r="B1885" s="89" t="s">
        <v>617</v>
      </c>
      <c r="C1885" s="89">
        <v>1333500.96</v>
      </c>
      <c r="D1885" s="89" t="s">
        <v>663</v>
      </c>
    </row>
    <row r="1886" spans="1:4" x14ac:dyDescent="0.25">
      <c r="A1886" s="89" t="s">
        <v>187</v>
      </c>
      <c r="B1886" s="89" t="s">
        <v>617</v>
      </c>
      <c r="C1886" s="89">
        <v>1413296.31</v>
      </c>
      <c r="D1886" s="89" t="s">
        <v>664</v>
      </c>
    </row>
    <row r="1887" spans="1:4" x14ac:dyDescent="0.25">
      <c r="A1887" s="89" t="s">
        <v>187</v>
      </c>
      <c r="B1887" s="89" t="s">
        <v>617</v>
      </c>
      <c r="C1887" s="89">
        <v>287993.96000000002</v>
      </c>
      <c r="D1887" s="89" t="s">
        <v>666</v>
      </c>
    </row>
    <row r="1888" spans="1:4" x14ac:dyDescent="0.25">
      <c r="A1888" s="89" t="s">
        <v>187</v>
      </c>
      <c r="B1888" s="89" t="s">
        <v>617</v>
      </c>
      <c r="C1888" s="89">
        <v>932838</v>
      </c>
      <c r="D1888" s="89" t="s">
        <v>664</v>
      </c>
    </row>
    <row r="1889" spans="1:4" x14ac:dyDescent="0.25">
      <c r="A1889" s="89" t="s">
        <v>187</v>
      </c>
      <c r="B1889" s="89" t="s">
        <v>617</v>
      </c>
      <c r="C1889" s="89">
        <v>274165.84999999998</v>
      </c>
      <c r="D1889" s="89" t="s">
        <v>663</v>
      </c>
    </row>
    <row r="1890" spans="1:4" x14ac:dyDescent="0.25">
      <c r="A1890" s="89" t="s">
        <v>187</v>
      </c>
      <c r="B1890" s="89" t="s">
        <v>617</v>
      </c>
      <c r="C1890" s="89">
        <v>435901.33</v>
      </c>
      <c r="D1890" s="89" t="s">
        <v>664</v>
      </c>
    </row>
    <row r="1891" spans="1:4" x14ac:dyDescent="0.25">
      <c r="A1891" s="89" t="s">
        <v>187</v>
      </c>
      <c r="B1891" s="89" t="s">
        <v>617</v>
      </c>
      <c r="C1891" s="89">
        <v>149822.20000000001</v>
      </c>
      <c r="D1891" s="89" t="s">
        <v>663</v>
      </c>
    </row>
    <row r="1892" spans="1:4" x14ac:dyDescent="0.25">
      <c r="A1892" s="89" t="s">
        <v>187</v>
      </c>
      <c r="B1892" s="89" t="s">
        <v>617</v>
      </c>
      <c r="C1892" s="89">
        <v>357919</v>
      </c>
      <c r="D1892" s="89" t="s">
        <v>666</v>
      </c>
    </row>
    <row r="1893" spans="1:4" x14ac:dyDescent="0.25">
      <c r="A1893" s="89" t="s">
        <v>187</v>
      </c>
      <c r="B1893" s="89" t="s">
        <v>617</v>
      </c>
      <c r="C1893" s="89">
        <v>1428998.71</v>
      </c>
      <c r="D1893" s="89" t="s">
        <v>663</v>
      </c>
    </row>
    <row r="1894" spans="1:4" x14ac:dyDescent="0.25">
      <c r="A1894" s="89" t="s">
        <v>187</v>
      </c>
      <c r="B1894" s="89" t="s">
        <v>617</v>
      </c>
      <c r="C1894" s="89">
        <v>2731690.49</v>
      </c>
      <c r="D1894" s="89" t="s">
        <v>663</v>
      </c>
    </row>
    <row r="1895" spans="1:4" x14ac:dyDescent="0.25">
      <c r="A1895" s="89" t="s">
        <v>187</v>
      </c>
      <c r="B1895" s="89" t="s">
        <v>617</v>
      </c>
      <c r="C1895" s="89">
        <v>1923303.7</v>
      </c>
      <c r="D1895" s="89" t="s">
        <v>664</v>
      </c>
    </row>
    <row r="1896" spans="1:4" x14ac:dyDescent="0.25">
      <c r="A1896" s="89" t="s">
        <v>187</v>
      </c>
      <c r="B1896" s="89" t="s">
        <v>617</v>
      </c>
      <c r="C1896" s="89">
        <v>253911</v>
      </c>
      <c r="D1896" s="89" t="s">
        <v>663</v>
      </c>
    </row>
    <row r="1897" spans="1:4" x14ac:dyDescent="0.25">
      <c r="A1897" s="89" t="s">
        <v>187</v>
      </c>
      <c r="B1897" s="89" t="s">
        <v>617</v>
      </c>
      <c r="C1897" s="89">
        <v>220925.68</v>
      </c>
      <c r="D1897" s="89" t="s">
        <v>664</v>
      </c>
    </row>
    <row r="1898" spans="1:4" x14ac:dyDescent="0.25">
      <c r="A1898" s="89" t="s">
        <v>187</v>
      </c>
      <c r="B1898" s="89" t="s">
        <v>617</v>
      </c>
      <c r="C1898" s="89">
        <v>855805.09</v>
      </c>
      <c r="D1898" s="89" t="s">
        <v>663</v>
      </c>
    </row>
    <row r="1899" spans="1:4" x14ac:dyDescent="0.25">
      <c r="A1899" s="89" t="s">
        <v>187</v>
      </c>
      <c r="B1899" s="89" t="s">
        <v>617</v>
      </c>
      <c r="C1899" s="89">
        <v>370836.63</v>
      </c>
      <c r="D1899" s="89" t="s">
        <v>663</v>
      </c>
    </row>
    <row r="1900" spans="1:4" x14ac:dyDescent="0.25">
      <c r="A1900" s="89" t="s">
        <v>187</v>
      </c>
      <c r="B1900" s="89" t="s">
        <v>617</v>
      </c>
      <c r="C1900" s="89">
        <v>831741.96</v>
      </c>
      <c r="D1900" s="89" t="s">
        <v>664</v>
      </c>
    </row>
    <row r="1901" spans="1:4" x14ac:dyDescent="0.25">
      <c r="A1901" s="89" t="s">
        <v>187</v>
      </c>
      <c r="B1901" s="89" t="s">
        <v>617</v>
      </c>
      <c r="C1901" s="89">
        <v>1334116.94</v>
      </c>
      <c r="D1901" s="89" t="s">
        <v>663</v>
      </c>
    </row>
    <row r="1902" spans="1:4" x14ac:dyDescent="0.25">
      <c r="A1902" s="89" t="s">
        <v>187</v>
      </c>
      <c r="B1902" s="89" t="s">
        <v>617</v>
      </c>
      <c r="C1902" s="89">
        <v>1225622.6000000001</v>
      </c>
      <c r="D1902" s="89" t="s">
        <v>664</v>
      </c>
    </row>
    <row r="1903" spans="1:4" x14ac:dyDescent="0.25">
      <c r="A1903" s="89" t="s">
        <v>187</v>
      </c>
      <c r="B1903" s="89" t="s">
        <v>617</v>
      </c>
      <c r="C1903" s="89">
        <v>1344473.72</v>
      </c>
      <c r="D1903" s="89" t="s">
        <v>663</v>
      </c>
    </row>
    <row r="1904" spans="1:4" x14ac:dyDescent="0.25">
      <c r="A1904" s="89" t="s">
        <v>187</v>
      </c>
      <c r="B1904" s="89" t="s">
        <v>617</v>
      </c>
      <c r="C1904" s="89">
        <v>197762.51</v>
      </c>
      <c r="D1904" s="89" t="s">
        <v>663</v>
      </c>
    </row>
    <row r="1905" spans="1:4" x14ac:dyDescent="0.25">
      <c r="A1905" s="89" t="s">
        <v>187</v>
      </c>
      <c r="B1905" s="89" t="s">
        <v>617</v>
      </c>
      <c r="C1905" s="89">
        <v>742690</v>
      </c>
      <c r="D1905" s="89" t="s">
        <v>663</v>
      </c>
    </row>
    <row r="1906" spans="1:4" x14ac:dyDescent="0.25">
      <c r="A1906" s="89" t="s">
        <v>187</v>
      </c>
      <c r="B1906" s="89" t="s">
        <v>617</v>
      </c>
      <c r="C1906" s="89">
        <v>1526722.82</v>
      </c>
      <c r="D1906" s="89" t="s">
        <v>664</v>
      </c>
    </row>
    <row r="1907" spans="1:4" x14ac:dyDescent="0.25">
      <c r="A1907" s="89" t="s">
        <v>187</v>
      </c>
      <c r="B1907" s="89" t="s">
        <v>617</v>
      </c>
      <c r="C1907" s="89">
        <v>291425.27</v>
      </c>
      <c r="D1907" s="89" t="s">
        <v>666</v>
      </c>
    </row>
    <row r="1908" spans="1:4" x14ac:dyDescent="0.25">
      <c r="A1908" s="89" t="s">
        <v>187</v>
      </c>
      <c r="B1908" s="89" t="s">
        <v>617</v>
      </c>
      <c r="C1908" s="89">
        <v>243493.17</v>
      </c>
      <c r="D1908" s="89" t="s">
        <v>664</v>
      </c>
    </row>
    <row r="1909" spans="1:4" x14ac:dyDescent="0.25">
      <c r="A1909" s="89" t="s">
        <v>187</v>
      </c>
      <c r="B1909" s="89" t="s">
        <v>617</v>
      </c>
      <c r="C1909" s="89">
        <v>1821710</v>
      </c>
      <c r="D1909" s="89" t="s">
        <v>664</v>
      </c>
    </row>
    <row r="1910" spans="1:4" x14ac:dyDescent="0.25">
      <c r="A1910" s="89" t="s">
        <v>187</v>
      </c>
      <c r="B1910" s="89" t="s">
        <v>617</v>
      </c>
      <c r="C1910" s="89">
        <v>1443555</v>
      </c>
      <c r="D1910" s="89" t="s">
        <v>663</v>
      </c>
    </row>
    <row r="1911" spans="1:4" x14ac:dyDescent="0.25">
      <c r="A1911" s="89" t="s">
        <v>187</v>
      </c>
      <c r="B1911" s="89" t="s">
        <v>617</v>
      </c>
      <c r="C1911" s="89">
        <v>1174244</v>
      </c>
      <c r="D1911" s="89" t="s">
        <v>663</v>
      </c>
    </row>
    <row r="1912" spans="1:4" x14ac:dyDescent="0.25">
      <c r="A1912" s="89" t="s">
        <v>187</v>
      </c>
      <c r="B1912" s="89" t="s">
        <v>617</v>
      </c>
      <c r="C1912" s="89">
        <v>338469.35</v>
      </c>
      <c r="D1912" s="89" t="s">
        <v>666</v>
      </c>
    </row>
    <row r="1913" spans="1:4" x14ac:dyDescent="0.25">
      <c r="A1913" s="89" t="s">
        <v>187</v>
      </c>
      <c r="B1913" s="89" t="s">
        <v>617</v>
      </c>
      <c r="C1913" s="89">
        <v>2114955</v>
      </c>
      <c r="D1913" s="89" t="s">
        <v>664</v>
      </c>
    </row>
    <row r="1914" spans="1:4" x14ac:dyDescent="0.25">
      <c r="A1914" s="89" t="s">
        <v>187</v>
      </c>
      <c r="B1914" s="89" t="s">
        <v>617</v>
      </c>
      <c r="C1914" s="89">
        <v>404433</v>
      </c>
      <c r="D1914" s="89" t="s">
        <v>666</v>
      </c>
    </row>
    <row r="1915" spans="1:4" x14ac:dyDescent="0.25">
      <c r="A1915" s="89" t="s">
        <v>187</v>
      </c>
      <c r="B1915" s="89" t="s">
        <v>617</v>
      </c>
      <c r="C1915" s="89">
        <v>755962.03</v>
      </c>
      <c r="D1915" s="89" t="s">
        <v>663</v>
      </c>
    </row>
    <row r="1916" spans="1:4" x14ac:dyDescent="0.25">
      <c r="A1916" s="89" t="s">
        <v>187</v>
      </c>
      <c r="B1916" s="89" t="s">
        <v>617</v>
      </c>
      <c r="C1916" s="89">
        <v>971189.56</v>
      </c>
      <c r="D1916" s="89" t="s">
        <v>664</v>
      </c>
    </row>
    <row r="1917" spans="1:4" x14ac:dyDescent="0.25">
      <c r="A1917" s="89" t="s">
        <v>187</v>
      </c>
      <c r="B1917" s="89" t="s">
        <v>617</v>
      </c>
      <c r="C1917" s="89">
        <v>193800.07</v>
      </c>
      <c r="D1917" s="89" t="s">
        <v>666</v>
      </c>
    </row>
    <row r="1918" spans="1:4" x14ac:dyDescent="0.25">
      <c r="A1918" s="89" t="s">
        <v>187</v>
      </c>
      <c r="B1918" s="89" t="s">
        <v>617</v>
      </c>
      <c r="C1918" s="89">
        <v>1407992.91</v>
      </c>
      <c r="D1918" s="89" t="s">
        <v>664</v>
      </c>
    </row>
    <row r="1919" spans="1:4" x14ac:dyDescent="0.25">
      <c r="A1919" s="89" t="s">
        <v>187</v>
      </c>
      <c r="B1919" s="89" t="s">
        <v>617</v>
      </c>
      <c r="C1919" s="89">
        <v>143077.88</v>
      </c>
      <c r="D1919" s="89" t="s">
        <v>664</v>
      </c>
    </row>
    <row r="1920" spans="1:4" x14ac:dyDescent="0.25">
      <c r="A1920" s="89" t="s">
        <v>187</v>
      </c>
      <c r="B1920" s="89" t="s">
        <v>617</v>
      </c>
      <c r="C1920" s="89">
        <v>429284.18</v>
      </c>
      <c r="D1920" s="89" t="s">
        <v>664</v>
      </c>
    </row>
    <row r="1921" spans="1:4" x14ac:dyDescent="0.25">
      <c r="A1921" s="89" t="s">
        <v>187</v>
      </c>
      <c r="B1921" s="89" t="s">
        <v>617</v>
      </c>
      <c r="C1921" s="89">
        <v>1200861.1599999999</v>
      </c>
      <c r="D1921" s="89" t="s">
        <v>663</v>
      </c>
    </row>
    <row r="1922" spans="1:4" x14ac:dyDescent="0.25">
      <c r="A1922" s="89" t="s">
        <v>187</v>
      </c>
      <c r="B1922" s="89" t="s">
        <v>617</v>
      </c>
      <c r="C1922" s="89">
        <v>633289.14</v>
      </c>
      <c r="D1922" s="89" t="s">
        <v>666</v>
      </c>
    </row>
    <row r="1923" spans="1:4" x14ac:dyDescent="0.25">
      <c r="A1923" s="89" t="s">
        <v>187</v>
      </c>
      <c r="B1923" s="89" t="s">
        <v>617</v>
      </c>
      <c r="C1923" s="89">
        <v>1439000</v>
      </c>
      <c r="D1923" s="89" t="s">
        <v>663</v>
      </c>
    </row>
    <row r="1924" spans="1:4" x14ac:dyDescent="0.25">
      <c r="A1924" s="89" t="s">
        <v>187</v>
      </c>
      <c r="B1924" s="89" t="s">
        <v>617</v>
      </c>
      <c r="C1924" s="89">
        <v>1900187</v>
      </c>
      <c r="D1924" s="89" t="s">
        <v>664</v>
      </c>
    </row>
    <row r="1925" spans="1:4" x14ac:dyDescent="0.25">
      <c r="A1925" s="89" t="s">
        <v>187</v>
      </c>
      <c r="B1925" s="89" t="s">
        <v>617</v>
      </c>
      <c r="C1925" s="89">
        <v>688977</v>
      </c>
      <c r="D1925" s="89" t="s">
        <v>663</v>
      </c>
    </row>
    <row r="1926" spans="1:4" x14ac:dyDescent="0.25">
      <c r="A1926" s="89" t="s">
        <v>187</v>
      </c>
      <c r="B1926" s="89" t="s">
        <v>617</v>
      </c>
      <c r="C1926" s="89">
        <v>4164818</v>
      </c>
      <c r="D1926" s="89" t="s">
        <v>664</v>
      </c>
    </row>
    <row r="1927" spans="1:4" x14ac:dyDescent="0.25">
      <c r="A1927" s="89" t="s">
        <v>187</v>
      </c>
      <c r="B1927" s="89" t="s">
        <v>617</v>
      </c>
      <c r="C1927" s="89">
        <v>437877.6</v>
      </c>
      <c r="D1927" s="89" t="s">
        <v>666</v>
      </c>
    </row>
    <row r="1928" spans="1:4" x14ac:dyDescent="0.25">
      <c r="A1928" s="89" t="s">
        <v>187</v>
      </c>
      <c r="B1928" s="89" t="s">
        <v>617</v>
      </c>
      <c r="C1928" s="89">
        <v>88694.59</v>
      </c>
      <c r="D1928" s="89" t="s">
        <v>663</v>
      </c>
    </row>
    <row r="1929" spans="1:4" x14ac:dyDescent="0.25">
      <c r="A1929" s="89" t="s">
        <v>187</v>
      </c>
      <c r="B1929" s="89" t="s">
        <v>617</v>
      </c>
      <c r="C1929" s="89">
        <v>87411.520000000004</v>
      </c>
      <c r="D1929" s="89" t="s">
        <v>663</v>
      </c>
    </row>
    <row r="1930" spans="1:4" x14ac:dyDescent="0.25">
      <c r="A1930" s="89" t="s">
        <v>187</v>
      </c>
      <c r="B1930" s="89" t="s">
        <v>617</v>
      </c>
      <c r="C1930" s="89">
        <v>385486.05</v>
      </c>
      <c r="D1930" s="89" t="s">
        <v>666</v>
      </c>
    </row>
    <row r="1931" spans="1:4" x14ac:dyDescent="0.25">
      <c r="A1931" s="89" t="s">
        <v>187</v>
      </c>
      <c r="B1931" s="89" t="s">
        <v>617</v>
      </c>
      <c r="C1931" s="89">
        <v>478447.11</v>
      </c>
      <c r="D1931" s="89" t="s">
        <v>666</v>
      </c>
    </row>
    <row r="1932" spans="1:4" x14ac:dyDescent="0.25">
      <c r="A1932" s="89" t="s">
        <v>187</v>
      </c>
      <c r="B1932" s="89" t="s">
        <v>617</v>
      </c>
      <c r="C1932" s="89">
        <v>473644.64</v>
      </c>
      <c r="D1932" s="89" t="s">
        <v>663</v>
      </c>
    </row>
    <row r="1933" spans="1:4" x14ac:dyDescent="0.25">
      <c r="A1933" s="89" t="s">
        <v>187</v>
      </c>
      <c r="B1933" s="89" t="s">
        <v>617</v>
      </c>
      <c r="C1933" s="89">
        <v>6670493.0599999996</v>
      </c>
      <c r="D1933" s="89" t="s">
        <v>664</v>
      </c>
    </row>
    <row r="1934" spans="1:4" x14ac:dyDescent="0.25">
      <c r="A1934" s="89" t="s">
        <v>187</v>
      </c>
      <c r="B1934" s="89" t="s">
        <v>617</v>
      </c>
      <c r="C1934" s="89">
        <v>40047.99</v>
      </c>
      <c r="D1934" s="89" t="s">
        <v>663</v>
      </c>
    </row>
    <row r="1935" spans="1:4" x14ac:dyDescent="0.25">
      <c r="A1935" s="89" t="s">
        <v>187</v>
      </c>
      <c r="B1935" s="89" t="s">
        <v>617</v>
      </c>
      <c r="C1935" s="89">
        <v>2068682</v>
      </c>
      <c r="D1935" s="89" t="s">
        <v>664</v>
      </c>
    </row>
    <row r="1936" spans="1:4" x14ac:dyDescent="0.25">
      <c r="A1936" s="89" t="s">
        <v>187</v>
      </c>
      <c r="B1936" s="89" t="s">
        <v>617</v>
      </c>
      <c r="C1936" s="89">
        <v>190781.77</v>
      </c>
      <c r="D1936" s="89" t="s">
        <v>663</v>
      </c>
    </row>
    <row r="1937" spans="1:4" x14ac:dyDescent="0.25">
      <c r="A1937" s="89" t="s">
        <v>187</v>
      </c>
      <c r="B1937" s="89" t="s">
        <v>617</v>
      </c>
      <c r="C1937" s="89">
        <v>30241.61</v>
      </c>
      <c r="D1937" s="89" t="s">
        <v>663</v>
      </c>
    </row>
    <row r="1938" spans="1:4" x14ac:dyDescent="0.25">
      <c r="A1938" s="89" t="s">
        <v>187</v>
      </c>
      <c r="B1938" s="89" t="s">
        <v>617</v>
      </c>
      <c r="C1938" s="89">
        <v>1059548.8878000001</v>
      </c>
      <c r="D1938" s="89" t="s">
        <v>663</v>
      </c>
    </row>
    <row r="1939" spans="1:4" x14ac:dyDescent="0.25">
      <c r="A1939" s="89" t="s">
        <v>187</v>
      </c>
      <c r="B1939" s="89" t="s">
        <v>617</v>
      </c>
      <c r="C1939" s="89">
        <v>519214.56</v>
      </c>
      <c r="D1939" s="89" t="s">
        <v>663</v>
      </c>
    </row>
    <row r="1940" spans="1:4" x14ac:dyDescent="0.25">
      <c r="A1940" s="89" t="s">
        <v>187</v>
      </c>
      <c r="B1940" s="89" t="s">
        <v>617</v>
      </c>
      <c r="C1940" s="89">
        <v>388750.66</v>
      </c>
      <c r="D1940" s="89" t="s">
        <v>663</v>
      </c>
    </row>
    <row r="1941" spans="1:4" x14ac:dyDescent="0.25">
      <c r="A1941" s="89" t="s">
        <v>187</v>
      </c>
      <c r="B1941" s="89" t="s">
        <v>617</v>
      </c>
      <c r="C1941" s="89">
        <v>1281653</v>
      </c>
      <c r="D1941" s="89" t="s">
        <v>666</v>
      </c>
    </row>
    <row r="1942" spans="1:4" x14ac:dyDescent="0.25">
      <c r="A1942" s="89" t="s">
        <v>187</v>
      </c>
      <c r="B1942" s="89" t="s">
        <v>617</v>
      </c>
      <c r="C1942" s="89">
        <v>1094641</v>
      </c>
      <c r="D1942" s="89" t="s">
        <v>664</v>
      </c>
    </row>
    <row r="1943" spans="1:4" x14ac:dyDescent="0.25">
      <c r="A1943" s="89" t="s">
        <v>187</v>
      </c>
      <c r="B1943" s="89" t="s">
        <v>617</v>
      </c>
      <c r="C1943" s="89">
        <v>679899</v>
      </c>
      <c r="D1943" s="89" t="s">
        <v>666</v>
      </c>
    </row>
    <row r="1944" spans="1:4" x14ac:dyDescent="0.25">
      <c r="A1944" s="89" t="s">
        <v>187</v>
      </c>
      <c r="B1944" s="89" t="s">
        <v>617</v>
      </c>
      <c r="C1944" s="89">
        <v>950905.35</v>
      </c>
      <c r="D1944" s="89" t="s">
        <v>663</v>
      </c>
    </row>
    <row r="1945" spans="1:4" x14ac:dyDescent="0.25">
      <c r="A1945" s="89" t="s">
        <v>187</v>
      </c>
      <c r="B1945" s="89" t="s">
        <v>617</v>
      </c>
      <c r="C1945" s="89">
        <v>5517513.6399999997</v>
      </c>
      <c r="D1945" s="89" t="s">
        <v>664</v>
      </c>
    </row>
    <row r="1946" spans="1:4" x14ac:dyDescent="0.25">
      <c r="A1946" s="89" t="s">
        <v>187</v>
      </c>
      <c r="B1946" s="89" t="s">
        <v>617</v>
      </c>
      <c r="C1946" s="89">
        <v>1371097.46</v>
      </c>
      <c r="D1946" s="89" t="s">
        <v>663</v>
      </c>
    </row>
    <row r="1947" spans="1:4" x14ac:dyDescent="0.25">
      <c r="A1947" s="89" t="s">
        <v>187</v>
      </c>
      <c r="B1947" s="89" t="s">
        <v>617</v>
      </c>
      <c r="C1947" s="89">
        <v>377291.11</v>
      </c>
      <c r="D1947" s="89" t="s">
        <v>663</v>
      </c>
    </row>
    <row r="1948" spans="1:4" x14ac:dyDescent="0.25">
      <c r="A1948" s="89" t="s">
        <v>187</v>
      </c>
      <c r="B1948" s="89" t="s">
        <v>617</v>
      </c>
      <c r="C1948" s="89">
        <v>100922.87</v>
      </c>
      <c r="D1948" s="89" t="s">
        <v>663</v>
      </c>
    </row>
    <row r="1949" spans="1:4" x14ac:dyDescent="0.25">
      <c r="A1949" s="89" t="s">
        <v>187</v>
      </c>
      <c r="B1949" s="89" t="s">
        <v>617</v>
      </c>
      <c r="C1949" s="89">
        <v>256656.8</v>
      </c>
      <c r="D1949" s="89" t="s">
        <v>663</v>
      </c>
    </row>
    <row r="1950" spans="1:4" x14ac:dyDescent="0.25">
      <c r="A1950" s="89" t="s">
        <v>187</v>
      </c>
      <c r="B1950" s="89" t="s">
        <v>617</v>
      </c>
      <c r="C1950" s="89">
        <v>1444837</v>
      </c>
      <c r="D1950" s="89" t="s">
        <v>666</v>
      </c>
    </row>
    <row r="1951" spans="1:4" x14ac:dyDescent="0.25">
      <c r="A1951" s="89" t="s">
        <v>187</v>
      </c>
      <c r="B1951" s="89" t="s">
        <v>617</v>
      </c>
      <c r="C1951" s="89">
        <v>1325598</v>
      </c>
      <c r="D1951" s="89" t="s">
        <v>666</v>
      </c>
    </row>
    <row r="1952" spans="1:4" x14ac:dyDescent="0.25">
      <c r="A1952" s="89" t="s">
        <v>48</v>
      </c>
      <c r="B1952" s="89" t="s">
        <v>616</v>
      </c>
      <c r="C1952" s="89">
        <v>901088</v>
      </c>
      <c r="D1952" s="89" t="s">
        <v>663</v>
      </c>
    </row>
    <row r="1953" spans="1:4" x14ac:dyDescent="0.25">
      <c r="A1953" s="89" t="s">
        <v>48</v>
      </c>
      <c r="B1953" s="89" t="s">
        <v>616</v>
      </c>
      <c r="C1953" s="89">
        <v>206800</v>
      </c>
      <c r="D1953" s="89" t="s">
        <v>664</v>
      </c>
    </row>
    <row r="1954" spans="1:4" x14ac:dyDescent="0.25">
      <c r="A1954" s="89" t="s">
        <v>48</v>
      </c>
      <c r="B1954" s="89" t="s">
        <v>616</v>
      </c>
      <c r="C1954" s="89">
        <v>572115</v>
      </c>
      <c r="D1954" s="89" t="s">
        <v>663</v>
      </c>
    </row>
    <row r="1955" spans="1:4" x14ac:dyDescent="0.25">
      <c r="A1955" s="89" t="s">
        <v>48</v>
      </c>
      <c r="B1955" s="89" t="s">
        <v>616</v>
      </c>
      <c r="C1955" s="89">
        <v>124651</v>
      </c>
      <c r="D1955" s="89" t="s">
        <v>666</v>
      </c>
    </row>
    <row r="1956" spans="1:4" x14ac:dyDescent="0.25">
      <c r="A1956" s="89" t="s">
        <v>48</v>
      </c>
      <c r="B1956" s="89" t="s">
        <v>616</v>
      </c>
      <c r="C1956" s="89">
        <v>687808</v>
      </c>
      <c r="D1956" s="89" t="s">
        <v>663</v>
      </c>
    </row>
    <row r="1957" spans="1:4" x14ac:dyDescent="0.25">
      <c r="A1957" s="89" t="s">
        <v>48</v>
      </c>
      <c r="B1957" s="89" t="s">
        <v>616</v>
      </c>
      <c r="C1957" s="89">
        <v>360950</v>
      </c>
      <c r="D1957" s="89" t="s">
        <v>664</v>
      </c>
    </row>
    <row r="1958" spans="1:4" x14ac:dyDescent="0.25">
      <c r="A1958" s="89" t="s">
        <v>48</v>
      </c>
      <c r="B1958" s="89" t="s">
        <v>616</v>
      </c>
      <c r="C1958" s="89">
        <v>77950</v>
      </c>
      <c r="D1958" s="89" t="s">
        <v>664</v>
      </c>
    </row>
    <row r="1959" spans="1:4" x14ac:dyDescent="0.25">
      <c r="A1959" s="89" t="s">
        <v>48</v>
      </c>
      <c r="B1959" s="89" t="s">
        <v>616</v>
      </c>
      <c r="C1959" s="89">
        <v>1349573</v>
      </c>
      <c r="D1959" s="89" t="s">
        <v>663</v>
      </c>
    </row>
    <row r="1960" spans="1:4" x14ac:dyDescent="0.25">
      <c r="A1960" s="89" t="s">
        <v>48</v>
      </c>
      <c r="B1960" s="89" t="s">
        <v>616</v>
      </c>
      <c r="C1960" s="89">
        <v>160600</v>
      </c>
      <c r="D1960" s="89" t="s">
        <v>664</v>
      </c>
    </row>
    <row r="1961" spans="1:4" x14ac:dyDescent="0.25">
      <c r="A1961" s="89" t="s">
        <v>48</v>
      </c>
      <c r="B1961" s="89" t="s">
        <v>616</v>
      </c>
      <c r="C1961" s="89">
        <v>418348.78</v>
      </c>
      <c r="D1961" s="89" t="s">
        <v>666</v>
      </c>
    </row>
    <row r="1962" spans="1:4" x14ac:dyDescent="0.25">
      <c r="A1962" s="89" t="s">
        <v>48</v>
      </c>
      <c r="B1962" s="89" t="s">
        <v>616</v>
      </c>
      <c r="C1962" s="89">
        <v>489301</v>
      </c>
      <c r="D1962" s="89" t="s">
        <v>666</v>
      </c>
    </row>
    <row r="1963" spans="1:4" x14ac:dyDescent="0.25">
      <c r="A1963" s="89" t="s">
        <v>48</v>
      </c>
      <c r="B1963" s="89" t="s">
        <v>616</v>
      </c>
      <c r="C1963" s="89">
        <v>720615</v>
      </c>
      <c r="D1963" s="89" t="s">
        <v>666</v>
      </c>
    </row>
    <row r="1964" spans="1:4" x14ac:dyDescent="0.25">
      <c r="A1964" s="89" t="s">
        <v>48</v>
      </c>
      <c r="B1964" s="89" t="s">
        <v>616</v>
      </c>
      <c r="C1964" s="89">
        <v>357964.79999999999</v>
      </c>
      <c r="D1964" s="89" t="s">
        <v>663</v>
      </c>
    </row>
    <row r="1965" spans="1:4" x14ac:dyDescent="0.25">
      <c r="A1965" s="89" t="s">
        <v>48</v>
      </c>
      <c r="B1965" s="89" t="s">
        <v>616</v>
      </c>
      <c r="C1965" s="89">
        <v>2252031</v>
      </c>
      <c r="D1965" s="89" t="s">
        <v>663</v>
      </c>
    </row>
    <row r="1966" spans="1:4" x14ac:dyDescent="0.25">
      <c r="A1966" s="89" t="s">
        <v>48</v>
      </c>
      <c r="B1966" s="89" t="s">
        <v>616</v>
      </c>
      <c r="C1966" s="89">
        <v>1291728</v>
      </c>
      <c r="D1966" s="89" t="s">
        <v>663</v>
      </c>
    </row>
    <row r="1967" spans="1:4" x14ac:dyDescent="0.25">
      <c r="A1967" s="89" t="s">
        <v>48</v>
      </c>
      <c r="B1967" s="89" t="s">
        <v>616</v>
      </c>
      <c r="C1967" s="89">
        <v>2550052.4</v>
      </c>
      <c r="D1967" s="89" t="s">
        <v>663</v>
      </c>
    </row>
    <row r="1968" spans="1:4" x14ac:dyDescent="0.25">
      <c r="A1968" s="89" t="s">
        <v>48</v>
      </c>
      <c r="B1968" s="89" t="s">
        <v>616</v>
      </c>
      <c r="C1968" s="89">
        <v>959813</v>
      </c>
      <c r="D1968" s="89" t="s">
        <v>666</v>
      </c>
    </row>
    <row r="1969" spans="1:4" x14ac:dyDescent="0.25">
      <c r="A1969" s="89" t="s">
        <v>48</v>
      </c>
      <c r="B1969" s="89" t="s">
        <v>616</v>
      </c>
      <c r="C1969" s="89">
        <v>1098486</v>
      </c>
      <c r="D1969" s="89" t="s">
        <v>663</v>
      </c>
    </row>
    <row r="1970" spans="1:4" x14ac:dyDescent="0.25">
      <c r="A1970" s="89" t="s">
        <v>48</v>
      </c>
      <c r="B1970" s="89" t="s">
        <v>616</v>
      </c>
      <c r="C1970" s="89">
        <v>2370657</v>
      </c>
      <c r="D1970" s="89" t="s">
        <v>663</v>
      </c>
    </row>
    <row r="1971" spans="1:4" x14ac:dyDescent="0.25">
      <c r="A1971" s="89" t="s">
        <v>48</v>
      </c>
      <c r="B1971" s="89" t="s">
        <v>616</v>
      </c>
      <c r="C1971" s="89">
        <v>100000</v>
      </c>
      <c r="D1971" s="89" t="s">
        <v>666</v>
      </c>
    </row>
    <row r="1972" spans="1:4" x14ac:dyDescent="0.25">
      <c r="A1972" s="89" t="s">
        <v>48</v>
      </c>
      <c r="B1972" s="89" t="s">
        <v>616</v>
      </c>
      <c r="C1972" s="89">
        <v>1361186.93</v>
      </c>
      <c r="D1972" s="89" t="s">
        <v>666</v>
      </c>
    </row>
    <row r="1973" spans="1:4" x14ac:dyDescent="0.25">
      <c r="A1973" s="89" t="s">
        <v>48</v>
      </c>
      <c r="B1973" s="89" t="s">
        <v>616</v>
      </c>
      <c r="C1973" s="89">
        <v>617455</v>
      </c>
      <c r="D1973" s="89" t="s">
        <v>664</v>
      </c>
    </row>
    <row r="1974" spans="1:4" x14ac:dyDescent="0.25">
      <c r="A1974" s="89" t="s">
        <v>48</v>
      </c>
      <c r="B1974" s="89" t="s">
        <v>616</v>
      </c>
      <c r="C1974" s="89">
        <v>4493045</v>
      </c>
      <c r="D1974" s="89" t="s">
        <v>666</v>
      </c>
    </row>
    <row r="1975" spans="1:4" x14ac:dyDescent="0.25">
      <c r="A1975" s="89" t="s">
        <v>48</v>
      </c>
      <c r="B1975" s="89" t="s">
        <v>616</v>
      </c>
      <c r="C1975" s="89">
        <v>2075175</v>
      </c>
      <c r="D1975" s="89" t="s">
        <v>663</v>
      </c>
    </row>
    <row r="1976" spans="1:4" x14ac:dyDescent="0.25">
      <c r="A1976" s="89" t="s">
        <v>48</v>
      </c>
      <c r="B1976" s="89" t="s">
        <v>616</v>
      </c>
      <c r="C1976" s="89">
        <v>1291489</v>
      </c>
      <c r="D1976" s="89" t="s">
        <v>666</v>
      </c>
    </row>
    <row r="1977" spans="1:4" x14ac:dyDescent="0.25">
      <c r="A1977" s="89" t="s">
        <v>48</v>
      </c>
      <c r="B1977" s="89" t="s">
        <v>616</v>
      </c>
      <c r="C1977" s="89">
        <v>950000</v>
      </c>
      <c r="D1977" s="89" t="s">
        <v>663</v>
      </c>
    </row>
    <row r="1978" spans="1:4" x14ac:dyDescent="0.25">
      <c r="A1978" s="89" t="s">
        <v>48</v>
      </c>
      <c r="B1978" s="89" t="s">
        <v>616</v>
      </c>
      <c r="C1978" s="89">
        <v>810321</v>
      </c>
      <c r="D1978" s="89" t="s">
        <v>663</v>
      </c>
    </row>
    <row r="1979" spans="1:4" x14ac:dyDescent="0.25">
      <c r="A1979" s="89" t="s">
        <v>48</v>
      </c>
      <c r="B1979" s="89" t="s">
        <v>616</v>
      </c>
      <c r="C1979" s="89">
        <v>375160</v>
      </c>
      <c r="D1979" s="89" t="s">
        <v>666</v>
      </c>
    </row>
    <row r="1980" spans="1:4" x14ac:dyDescent="0.25">
      <c r="A1980" s="89" t="s">
        <v>48</v>
      </c>
      <c r="B1980" s="89" t="s">
        <v>616</v>
      </c>
      <c r="C1980" s="89">
        <v>421753</v>
      </c>
      <c r="D1980" s="89" t="s">
        <v>666</v>
      </c>
    </row>
    <row r="1981" spans="1:4" x14ac:dyDescent="0.25">
      <c r="A1981" s="89" t="s">
        <v>48</v>
      </c>
      <c r="B1981" s="89" t="s">
        <v>616</v>
      </c>
      <c r="C1981" s="89">
        <v>2763821</v>
      </c>
      <c r="D1981" s="89" t="s">
        <v>663</v>
      </c>
    </row>
    <row r="1982" spans="1:4" x14ac:dyDescent="0.25">
      <c r="A1982" s="89" t="s">
        <v>48</v>
      </c>
      <c r="B1982" s="89" t="s">
        <v>616</v>
      </c>
      <c r="C1982" s="89">
        <v>1157455</v>
      </c>
      <c r="D1982" s="89" t="s">
        <v>666</v>
      </c>
    </row>
    <row r="1983" spans="1:4" x14ac:dyDescent="0.25">
      <c r="A1983" s="89" t="s">
        <v>48</v>
      </c>
      <c r="B1983" s="89" t="s">
        <v>616</v>
      </c>
      <c r="C1983" s="89">
        <v>1047989</v>
      </c>
      <c r="D1983" s="89" t="s">
        <v>666</v>
      </c>
    </row>
    <row r="1984" spans="1:4" x14ac:dyDescent="0.25">
      <c r="A1984" s="89" t="s">
        <v>48</v>
      </c>
      <c r="B1984" s="89" t="s">
        <v>616</v>
      </c>
      <c r="C1984" s="89">
        <v>1948663</v>
      </c>
      <c r="D1984" s="89" t="s">
        <v>663</v>
      </c>
    </row>
    <row r="1985" spans="1:4" x14ac:dyDescent="0.25">
      <c r="A1985" s="89" t="s">
        <v>48</v>
      </c>
      <c r="B1985" s="89" t="s">
        <v>616</v>
      </c>
      <c r="C1985" s="89">
        <v>538192.17000000004</v>
      </c>
      <c r="D1985" s="89" t="s">
        <v>666</v>
      </c>
    </row>
    <row r="1986" spans="1:4" x14ac:dyDescent="0.25">
      <c r="A1986" s="89" t="s">
        <v>48</v>
      </c>
      <c r="B1986" s="89" t="s">
        <v>616</v>
      </c>
      <c r="C1986" s="89">
        <v>1421446.74</v>
      </c>
      <c r="D1986" s="89" t="s">
        <v>666</v>
      </c>
    </row>
    <row r="1987" spans="1:4" x14ac:dyDescent="0.25">
      <c r="A1987" s="89" t="s">
        <v>48</v>
      </c>
      <c r="B1987" s="89" t="s">
        <v>616</v>
      </c>
      <c r="C1987" s="89">
        <v>50000</v>
      </c>
      <c r="D1987" s="89" t="s">
        <v>666</v>
      </c>
    </row>
    <row r="1988" spans="1:4" x14ac:dyDescent="0.25">
      <c r="A1988" s="89" t="s">
        <v>48</v>
      </c>
      <c r="B1988" s="89" t="s">
        <v>616</v>
      </c>
      <c r="C1988" s="89">
        <v>1307296</v>
      </c>
      <c r="D1988" s="89" t="s">
        <v>663</v>
      </c>
    </row>
    <row r="1989" spans="1:4" x14ac:dyDescent="0.25">
      <c r="A1989" s="89" t="s">
        <v>48</v>
      </c>
      <c r="B1989" s="89" t="s">
        <v>616</v>
      </c>
      <c r="C1989" s="89">
        <v>705430</v>
      </c>
      <c r="D1989" s="89" t="s">
        <v>664</v>
      </c>
    </row>
    <row r="1990" spans="1:4" x14ac:dyDescent="0.25">
      <c r="A1990" s="89" t="s">
        <v>48</v>
      </c>
      <c r="B1990" s="89" t="s">
        <v>616</v>
      </c>
      <c r="C1990" s="89">
        <v>882530</v>
      </c>
      <c r="D1990" s="89" t="s">
        <v>664</v>
      </c>
    </row>
    <row r="1991" spans="1:4" x14ac:dyDescent="0.25">
      <c r="A1991" s="89" t="s">
        <v>48</v>
      </c>
      <c r="B1991" s="89" t="s">
        <v>616</v>
      </c>
      <c r="C1991" s="89">
        <v>3773102</v>
      </c>
      <c r="D1991" s="89" t="s">
        <v>666</v>
      </c>
    </row>
    <row r="1992" spans="1:4" x14ac:dyDescent="0.25">
      <c r="A1992" s="89" t="s">
        <v>48</v>
      </c>
      <c r="B1992" s="89" t="s">
        <v>616</v>
      </c>
      <c r="C1992" s="89">
        <v>2127908</v>
      </c>
      <c r="D1992" s="89" t="s">
        <v>663</v>
      </c>
    </row>
    <row r="1993" spans="1:4" x14ac:dyDescent="0.25">
      <c r="A1993" s="89" t="s">
        <v>48</v>
      </c>
      <c r="B1993" s="89" t="s">
        <v>616</v>
      </c>
      <c r="C1993" s="89">
        <v>-485947.56</v>
      </c>
      <c r="D1993" s="89" t="s">
        <v>663</v>
      </c>
    </row>
    <row r="1994" spans="1:4" x14ac:dyDescent="0.25">
      <c r="A1994" s="89" t="s">
        <v>48</v>
      </c>
      <c r="B1994" s="89" t="s">
        <v>616</v>
      </c>
      <c r="C1994" s="89">
        <v>31667.23</v>
      </c>
      <c r="D1994" s="89" t="s">
        <v>663</v>
      </c>
    </row>
    <row r="1995" spans="1:4" x14ac:dyDescent="0.25">
      <c r="A1995" s="89" t="s">
        <v>48</v>
      </c>
      <c r="B1995" s="89" t="s">
        <v>616</v>
      </c>
      <c r="C1995" s="89">
        <v>95876</v>
      </c>
      <c r="D1995" s="89" t="s">
        <v>664</v>
      </c>
    </row>
    <row r="1996" spans="1:4" x14ac:dyDescent="0.25">
      <c r="A1996" s="89" t="s">
        <v>48</v>
      </c>
      <c r="B1996" s="89" t="s">
        <v>616</v>
      </c>
      <c r="C1996" s="89">
        <v>377679.22</v>
      </c>
      <c r="D1996" s="89" t="s">
        <v>663</v>
      </c>
    </row>
    <row r="1997" spans="1:4" x14ac:dyDescent="0.25">
      <c r="A1997" s="89" t="s">
        <v>48</v>
      </c>
      <c r="B1997" s="89" t="s">
        <v>616</v>
      </c>
      <c r="C1997" s="89">
        <v>-2047407.43</v>
      </c>
      <c r="D1997" s="89" t="s">
        <v>666</v>
      </c>
    </row>
    <row r="1998" spans="1:4" x14ac:dyDescent="0.25">
      <c r="A1998" s="89" t="s">
        <v>48</v>
      </c>
      <c r="B1998" s="89" t="s">
        <v>616</v>
      </c>
      <c r="C1998" s="89">
        <v>-1181314.77</v>
      </c>
      <c r="D1998" s="89" t="s">
        <v>666</v>
      </c>
    </row>
    <row r="1999" spans="1:4" x14ac:dyDescent="0.25">
      <c r="A1999" s="89" t="s">
        <v>48</v>
      </c>
      <c r="B1999" s="89" t="s">
        <v>616</v>
      </c>
      <c r="C1999" s="89">
        <v>301488</v>
      </c>
      <c r="D1999" s="89" t="s">
        <v>664</v>
      </c>
    </row>
    <row r="2000" spans="1:4" x14ac:dyDescent="0.25">
      <c r="A2000" s="89" t="s">
        <v>48</v>
      </c>
      <c r="B2000" s="89" t="s">
        <v>616</v>
      </c>
      <c r="C2000" s="89">
        <v>1152936.48</v>
      </c>
      <c r="D2000" s="89" t="s">
        <v>666</v>
      </c>
    </row>
    <row r="2001" spans="1:4" x14ac:dyDescent="0.25">
      <c r="A2001" s="89" t="s">
        <v>48</v>
      </c>
      <c r="B2001" s="89" t="s">
        <v>616</v>
      </c>
      <c r="C2001" s="89">
        <v>2678820.75</v>
      </c>
      <c r="D2001" s="89" t="s">
        <v>666</v>
      </c>
    </row>
    <row r="2002" spans="1:4" x14ac:dyDescent="0.25">
      <c r="A2002" s="89" t="s">
        <v>48</v>
      </c>
      <c r="B2002" s="89" t="s">
        <v>616</v>
      </c>
      <c r="C2002" s="89">
        <v>6986580.8700000001</v>
      </c>
      <c r="D2002" s="89" t="s">
        <v>663</v>
      </c>
    </row>
    <row r="2003" spans="1:4" x14ac:dyDescent="0.25">
      <c r="A2003" s="89" t="s">
        <v>48</v>
      </c>
      <c r="B2003" s="89" t="s">
        <v>616</v>
      </c>
      <c r="C2003" s="89">
        <v>50000</v>
      </c>
      <c r="D2003" s="89" t="s">
        <v>666</v>
      </c>
    </row>
    <row r="2004" spans="1:4" x14ac:dyDescent="0.25">
      <c r="A2004" s="89" t="s">
        <v>48</v>
      </c>
      <c r="B2004" s="89" t="s">
        <v>616</v>
      </c>
      <c r="C2004" s="89">
        <v>-126076.54</v>
      </c>
      <c r="D2004" s="89" t="s">
        <v>664</v>
      </c>
    </row>
    <row r="2005" spans="1:4" x14ac:dyDescent="0.25">
      <c r="A2005" s="89" t="s">
        <v>48</v>
      </c>
      <c r="B2005" s="89" t="s">
        <v>616</v>
      </c>
      <c r="C2005" s="89">
        <v>795000</v>
      </c>
      <c r="D2005" s="89" t="s">
        <v>663</v>
      </c>
    </row>
    <row r="2006" spans="1:4" x14ac:dyDescent="0.25">
      <c r="A2006" s="89" t="s">
        <v>48</v>
      </c>
      <c r="B2006" s="89" t="s">
        <v>616</v>
      </c>
      <c r="C2006" s="89">
        <v>-97.15</v>
      </c>
      <c r="D2006" s="89" t="s">
        <v>663</v>
      </c>
    </row>
    <row r="2007" spans="1:4" x14ac:dyDescent="0.25">
      <c r="A2007" s="89" t="s">
        <v>93</v>
      </c>
      <c r="B2007" s="89" t="s">
        <v>616</v>
      </c>
      <c r="C2007" s="89">
        <v>429599</v>
      </c>
      <c r="D2007" s="89" t="s">
        <v>663</v>
      </c>
    </row>
    <row r="2008" spans="1:4" x14ac:dyDescent="0.25">
      <c r="A2008" s="89" t="s">
        <v>93</v>
      </c>
      <c r="B2008" s="89" t="s">
        <v>616</v>
      </c>
      <c r="C2008" s="89">
        <v>3697419.5</v>
      </c>
      <c r="D2008" s="89" t="s">
        <v>664</v>
      </c>
    </row>
    <row r="2009" spans="1:4" x14ac:dyDescent="0.25">
      <c r="A2009" s="89" t="s">
        <v>93</v>
      </c>
      <c r="B2009" s="89" t="s">
        <v>616</v>
      </c>
      <c r="C2009" s="89">
        <v>152238.85</v>
      </c>
      <c r="D2009" s="89" t="s">
        <v>664</v>
      </c>
    </row>
    <row r="2010" spans="1:4" x14ac:dyDescent="0.25">
      <c r="A2010" s="89" t="s">
        <v>93</v>
      </c>
      <c r="B2010" s="89" t="s">
        <v>616</v>
      </c>
      <c r="C2010" s="89">
        <v>197842.22</v>
      </c>
      <c r="D2010" s="89" t="s">
        <v>666</v>
      </c>
    </row>
    <row r="2011" spans="1:4" x14ac:dyDescent="0.25">
      <c r="A2011" s="89" t="s">
        <v>93</v>
      </c>
      <c r="B2011" s="89" t="s">
        <v>616</v>
      </c>
      <c r="C2011" s="89">
        <v>585901</v>
      </c>
      <c r="D2011" s="89" t="s">
        <v>663</v>
      </c>
    </row>
    <row r="2012" spans="1:4" x14ac:dyDescent="0.25">
      <c r="A2012" s="89" t="s">
        <v>93</v>
      </c>
      <c r="B2012" s="89" t="s">
        <v>616</v>
      </c>
      <c r="C2012" s="89">
        <v>394164</v>
      </c>
      <c r="D2012" s="89" t="s">
        <v>666</v>
      </c>
    </row>
    <row r="2013" spans="1:4" x14ac:dyDescent="0.25">
      <c r="A2013" s="89" t="s">
        <v>93</v>
      </c>
      <c r="B2013" s="89" t="s">
        <v>616</v>
      </c>
      <c r="C2013" s="89">
        <v>86388</v>
      </c>
      <c r="D2013" s="89" t="s">
        <v>664</v>
      </c>
    </row>
    <row r="2014" spans="1:4" x14ac:dyDescent="0.25">
      <c r="A2014" s="89" t="s">
        <v>93</v>
      </c>
      <c r="B2014" s="89" t="s">
        <v>616</v>
      </c>
      <c r="C2014" s="89">
        <v>6674750</v>
      </c>
      <c r="D2014" s="89" t="s">
        <v>663</v>
      </c>
    </row>
    <row r="2015" spans="1:4" x14ac:dyDescent="0.25">
      <c r="A2015" s="89" t="s">
        <v>93</v>
      </c>
      <c r="B2015" s="89" t="s">
        <v>616</v>
      </c>
      <c r="C2015" s="89">
        <v>4657393</v>
      </c>
      <c r="D2015" s="89" t="s">
        <v>666</v>
      </c>
    </row>
    <row r="2016" spans="1:4" x14ac:dyDescent="0.25">
      <c r="A2016" s="89" t="s">
        <v>93</v>
      </c>
      <c r="B2016" s="89" t="s">
        <v>616</v>
      </c>
      <c r="C2016" s="89">
        <v>1167599</v>
      </c>
      <c r="D2016" s="89" t="s">
        <v>664</v>
      </c>
    </row>
    <row r="2017" spans="1:4" x14ac:dyDescent="0.25">
      <c r="A2017" s="89" t="s">
        <v>93</v>
      </c>
      <c r="B2017" s="89" t="s">
        <v>616</v>
      </c>
      <c r="C2017" s="89">
        <v>2142891</v>
      </c>
      <c r="D2017" s="89" t="s">
        <v>666</v>
      </c>
    </row>
    <row r="2018" spans="1:4" x14ac:dyDescent="0.25">
      <c r="A2018" s="89" t="s">
        <v>93</v>
      </c>
      <c r="B2018" s="89" t="s">
        <v>616</v>
      </c>
      <c r="C2018" s="89">
        <v>327475.07</v>
      </c>
      <c r="D2018" s="89" t="s">
        <v>663</v>
      </c>
    </row>
    <row r="2019" spans="1:4" x14ac:dyDescent="0.25">
      <c r="A2019" s="89" t="s">
        <v>93</v>
      </c>
      <c r="B2019" s="89" t="s">
        <v>616</v>
      </c>
      <c r="C2019" s="89">
        <v>1620150.68</v>
      </c>
      <c r="D2019" s="89" t="s">
        <v>664</v>
      </c>
    </row>
    <row r="2020" spans="1:4" x14ac:dyDescent="0.25">
      <c r="A2020" s="89" t="s">
        <v>93</v>
      </c>
      <c r="B2020" s="89" t="s">
        <v>616</v>
      </c>
      <c r="C2020" s="89">
        <v>2771000</v>
      </c>
      <c r="D2020" s="89" t="s">
        <v>664</v>
      </c>
    </row>
    <row r="2021" spans="1:4" x14ac:dyDescent="0.25">
      <c r="A2021" s="89" t="s">
        <v>93</v>
      </c>
      <c r="B2021" s="89" t="s">
        <v>616</v>
      </c>
      <c r="C2021" s="89">
        <v>291377</v>
      </c>
      <c r="D2021" s="89" t="s">
        <v>666</v>
      </c>
    </row>
    <row r="2022" spans="1:4" x14ac:dyDescent="0.25">
      <c r="A2022" s="89" t="s">
        <v>93</v>
      </c>
      <c r="B2022" s="89" t="s">
        <v>616</v>
      </c>
      <c r="C2022" s="89">
        <v>1817398</v>
      </c>
      <c r="D2022" s="89" t="s">
        <v>663</v>
      </c>
    </row>
    <row r="2023" spans="1:4" x14ac:dyDescent="0.25">
      <c r="A2023" s="89" t="s">
        <v>93</v>
      </c>
      <c r="B2023" s="89" t="s">
        <v>616</v>
      </c>
      <c r="C2023" s="89">
        <v>232090</v>
      </c>
      <c r="D2023" s="89" t="s">
        <v>666</v>
      </c>
    </row>
    <row r="2024" spans="1:4" x14ac:dyDescent="0.25">
      <c r="A2024" s="89" t="s">
        <v>93</v>
      </c>
      <c r="B2024" s="89" t="s">
        <v>616</v>
      </c>
      <c r="C2024" s="89">
        <v>2407202</v>
      </c>
      <c r="D2024" s="89" t="s">
        <v>663</v>
      </c>
    </row>
    <row r="2025" spans="1:4" x14ac:dyDescent="0.25">
      <c r="A2025" s="89" t="s">
        <v>93</v>
      </c>
      <c r="B2025" s="89" t="s">
        <v>616</v>
      </c>
      <c r="C2025" s="89">
        <v>293465</v>
      </c>
      <c r="D2025" s="89" t="s">
        <v>664</v>
      </c>
    </row>
    <row r="2026" spans="1:4" x14ac:dyDescent="0.25">
      <c r="A2026" s="89" t="s">
        <v>93</v>
      </c>
      <c r="B2026" s="89" t="s">
        <v>616</v>
      </c>
      <c r="C2026" s="89">
        <v>247016</v>
      </c>
      <c r="D2026" s="89" t="s">
        <v>663</v>
      </c>
    </row>
    <row r="2027" spans="1:4" x14ac:dyDescent="0.25">
      <c r="A2027" s="89" t="s">
        <v>93</v>
      </c>
      <c r="B2027" s="89" t="s">
        <v>616</v>
      </c>
      <c r="C2027" s="89">
        <v>199590</v>
      </c>
      <c r="D2027" s="89" t="s">
        <v>666</v>
      </c>
    </row>
    <row r="2028" spans="1:4" x14ac:dyDescent="0.25">
      <c r="A2028" s="89" t="s">
        <v>93</v>
      </c>
      <c r="B2028" s="89" t="s">
        <v>616</v>
      </c>
      <c r="C2028" s="89">
        <v>279240</v>
      </c>
      <c r="D2028" s="89" t="s">
        <v>664</v>
      </c>
    </row>
    <row r="2029" spans="1:4" x14ac:dyDescent="0.25">
      <c r="A2029" s="89" t="s">
        <v>93</v>
      </c>
      <c r="B2029" s="89" t="s">
        <v>616</v>
      </c>
      <c r="C2029" s="89">
        <v>275757</v>
      </c>
      <c r="D2029" s="89" t="s">
        <v>663</v>
      </c>
    </row>
    <row r="2030" spans="1:4" x14ac:dyDescent="0.25">
      <c r="A2030" s="89" t="s">
        <v>93</v>
      </c>
      <c r="B2030" s="89" t="s">
        <v>616</v>
      </c>
      <c r="C2030" s="89">
        <v>336706.05</v>
      </c>
      <c r="D2030" s="89" t="s">
        <v>664</v>
      </c>
    </row>
    <row r="2031" spans="1:4" x14ac:dyDescent="0.25">
      <c r="A2031" s="89" t="s">
        <v>93</v>
      </c>
      <c r="B2031" s="89" t="s">
        <v>616</v>
      </c>
      <c r="C2031" s="89">
        <v>904708.22</v>
      </c>
      <c r="D2031" s="89" t="s">
        <v>664</v>
      </c>
    </row>
    <row r="2032" spans="1:4" x14ac:dyDescent="0.25">
      <c r="A2032" s="89" t="s">
        <v>93</v>
      </c>
      <c r="B2032" s="89" t="s">
        <v>616</v>
      </c>
      <c r="C2032" s="89">
        <v>2761026.34</v>
      </c>
      <c r="D2032" s="89" t="s">
        <v>666</v>
      </c>
    </row>
    <row r="2033" spans="1:4" x14ac:dyDescent="0.25">
      <c r="A2033" s="89" t="s">
        <v>93</v>
      </c>
      <c r="B2033" s="89" t="s">
        <v>616</v>
      </c>
      <c r="C2033" s="89">
        <v>143767.32</v>
      </c>
      <c r="D2033" s="89" t="s">
        <v>666</v>
      </c>
    </row>
    <row r="2034" spans="1:4" x14ac:dyDescent="0.25">
      <c r="A2034" s="89" t="s">
        <v>93</v>
      </c>
      <c r="B2034" s="89" t="s">
        <v>616</v>
      </c>
      <c r="C2034" s="89">
        <v>4653096</v>
      </c>
      <c r="D2034" s="89" t="s">
        <v>663</v>
      </c>
    </row>
    <row r="2035" spans="1:4" x14ac:dyDescent="0.25">
      <c r="A2035" s="89" t="s">
        <v>93</v>
      </c>
      <c r="B2035" s="89" t="s">
        <v>616</v>
      </c>
      <c r="C2035" s="89">
        <v>1109587.01</v>
      </c>
      <c r="D2035" s="89" t="s">
        <v>666</v>
      </c>
    </row>
    <row r="2036" spans="1:4" x14ac:dyDescent="0.25">
      <c r="A2036" s="89" t="s">
        <v>93</v>
      </c>
      <c r="B2036" s="89" t="s">
        <v>616</v>
      </c>
      <c r="C2036" s="89">
        <v>458985.4</v>
      </c>
      <c r="D2036" s="89" t="s">
        <v>664</v>
      </c>
    </row>
    <row r="2037" spans="1:4" x14ac:dyDescent="0.25">
      <c r="A2037" s="89" t="s">
        <v>93</v>
      </c>
      <c r="B2037" s="89" t="s">
        <v>616</v>
      </c>
      <c r="C2037" s="89">
        <v>18363179.52</v>
      </c>
      <c r="D2037" s="89" t="s">
        <v>664</v>
      </c>
    </row>
    <row r="2038" spans="1:4" x14ac:dyDescent="0.25">
      <c r="A2038" s="89" t="s">
        <v>93</v>
      </c>
      <c r="B2038" s="89" t="s">
        <v>616</v>
      </c>
      <c r="C2038" s="89">
        <v>3360182</v>
      </c>
      <c r="D2038" s="89" t="s">
        <v>664</v>
      </c>
    </row>
    <row r="2039" spans="1:4" x14ac:dyDescent="0.25">
      <c r="A2039" s="89" t="s">
        <v>93</v>
      </c>
      <c r="B2039" s="89" t="s">
        <v>616</v>
      </c>
      <c r="C2039" s="89">
        <v>3309120</v>
      </c>
      <c r="D2039" s="89" t="s">
        <v>666</v>
      </c>
    </row>
    <row r="2040" spans="1:4" x14ac:dyDescent="0.25">
      <c r="A2040" s="89" t="s">
        <v>93</v>
      </c>
      <c r="B2040" s="89" t="s">
        <v>616</v>
      </c>
      <c r="C2040" s="89">
        <v>16240891</v>
      </c>
      <c r="D2040" s="89" t="s">
        <v>663</v>
      </c>
    </row>
    <row r="2041" spans="1:4" x14ac:dyDescent="0.25">
      <c r="A2041" s="89" t="s">
        <v>93</v>
      </c>
      <c r="B2041" s="89" t="s">
        <v>616</v>
      </c>
      <c r="C2041" s="89">
        <v>2414000</v>
      </c>
      <c r="D2041" s="89" t="s">
        <v>663</v>
      </c>
    </row>
    <row r="2042" spans="1:4" x14ac:dyDescent="0.25">
      <c r="A2042" s="89" t="s">
        <v>93</v>
      </c>
      <c r="B2042" s="89" t="s">
        <v>616</v>
      </c>
      <c r="C2042" s="89">
        <v>342340</v>
      </c>
      <c r="D2042" s="89" t="s">
        <v>663</v>
      </c>
    </row>
    <row r="2043" spans="1:4" x14ac:dyDescent="0.25">
      <c r="A2043" s="89" t="s">
        <v>93</v>
      </c>
      <c r="B2043" s="89" t="s">
        <v>616</v>
      </c>
      <c r="C2043" s="89">
        <v>999428</v>
      </c>
      <c r="D2043" s="89" t="s">
        <v>663</v>
      </c>
    </row>
    <row r="2044" spans="1:4" x14ac:dyDescent="0.25">
      <c r="A2044" s="89" t="s">
        <v>93</v>
      </c>
      <c r="B2044" s="89" t="s">
        <v>616</v>
      </c>
      <c r="C2044" s="89">
        <v>839225</v>
      </c>
      <c r="D2044" s="89" t="s">
        <v>664</v>
      </c>
    </row>
    <row r="2045" spans="1:4" x14ac:dyDescent="0.25">
      <c r="A2045" s="89" t="s">
        <v>93</v>
      </c>
      <c r="B2045" s="89" t="s">
        <v>616</v>
      </c>
      <c r="C2045" s="89">
        <v>6303644</v>
      </c>
      <c r="D2045" s="89" t="s">
        <v>663</v>
      </c>
    </row>
    <row r="2046" spans="1:4" x14ac:dyDescent="0.25">
      <c r="A2046" s="89" t="s">
        <v>93</v>
      </c>
      <c r="B2046" s="89" t="s">
        <v>616</v>
      </c>
      <c r="C2046" s="89">
        <v>4252461</v>
      </c>
      <c r="D2046" s="89" t="s">
        <v>666</v>
      </c>
    </row>
    <row r="2047" spans="1:4" x14ac:dyDescent="0.25">
      <c r="A2047" s="89" t="s">
        <v>93</v>
      </c>
      <c r="B2047" s="89" t="s">
        <v>616</v>
      </c>
      <c r="C2047" s="89">
        <v>786260.14</v>
      </c>
      <c r="D2047" s="89" t="s">
        <v>666</v>
      </c>
    </row>
    <row r="2048" spans="1:4" x14ac:dyDescent="0.25">
      <c r="A2048" s="89" t="s">
        <v>93</v>
      </c>
      <c r="B2048" s="89" t="s">
        <v>616</v>
      </c>
      <c r="C2048" s="89">
        <v>873062.29</v>
      </c>
      <c r="D2048" s="89" t="s">
        <v>663</v>
      </c>
    </row>
    <row r="2049" spans="1:4" x14ac:dyDescent="0.25">
      <c r="A2049" s="89" t="s">
        <v>93</v>
      </c>
      <c r="B2049" s="89" t="s">
        <v>616</v>
      </c>
      <c r="C2049" s="89">
        <v>638162</v>
      </c>
      <c r="D2049" s="89" t="s">
        <v>664</v>
      </c>
    </row>
    <row r="2050" spans="1:4" x14ac:dyDescent="0.25">
      <c r="A2050" s="89" t="s">
        <v>93</v>
      </c>
      <c r="B2050" s="89" t="s">
        <v>616</v>
      </c>
      <c r="C2050" s="89">
        <v>129251</v>
      </c>
      <c r="D2050" s="89" t="s">
        <v>666</v>
      </c>
    </row>
    <row r="2051" spans="1:4" x14ac:dyDescent="0.25">
      <c r="A2051" s="89" t="s">
        <v>93</v>
      </c>
      <c r="B2051" s="89" t="s">
        <v>616</v>
      </c>
      <c r="C2051" s="89">
        <v>611565</v>
      </c>
      <c r="D2051" s="89" t="s">
        <v>664</v>
      </c>
    </row>
    <row r="2052" spans="1:4" x14ac:dyDescent="0.25">
      <c r="A2052" s="89" t="s">
        <v>93</v>
      </c>
      <c r="B2052" s="89" t="s">
        <v>616</v>
      </c>
      <c r="C2052" s="89">
        <v>3697189.12</v>
      </c>
      <c r="D2052" s="89" t="s">
        <v>664</v>
      </c>
    </row>
    <row r="2053" spans="1:4" x14ac:dyDescent="0.25">
      <c r="A2053" s="89" t="s">
        <v>93</v>
      </c>
      <c r="B2053" s="89" t="s">
        <v>616</v>
      </c>
      <c r="C2053" s="89">
        <v>3490513.18</v>
      </c>
      <c r="D2053" s="89" t="s">
        <v>663</v>
      </c>
    </row>
    <row r="2054" spans="1:4" x14ac:dyDescent="0.25">
      <c r="A2054" s="89" t="s">
        <v>93</v>
      </c>
      <c r="B2054" s="89" t="s">
        <v>616</v>
      </c>
      <c r="C2054" s="89">
        <v>441223</v>
      </c>
      <c r="D2054" s="89" t="s">
        <v>664</v>
      </c>
    </row>
    <row r="2055" spans="1:4" x14ac:dyDescent="0.25">
      <c r="A2055" s="89" t="s">
        <v>93</v>
      </c>
      <c r="B2055" s="89" t="s">
        <v>616</v>
      </c>
      <c r="C2055" s="89">
        <v>18938273.170000002</v>
      </c>
      <c r="D2055" s="89" t="s">
        <v>663</v>
      </c>
    </row>
    <row r="2056" spans="1:4" x14ac:dyDescent="0.25">
      <c r="A2056" s="89" t="s">
        <v>93</v>
      </c>
      <c r="B2056" s="89" t="s">
        <v>616</v>
      </c>
      <c r="C2056" s="89">
        <v>1681971.46</v>
      </c>
      <c r="D2056" s="89" t="s">
        <v>666</v>
      </c>
    </row>
    <row r="2057" spans="1:4" x14ac:dyDescent="0.25">
      <c r="A2057" s="89" t="s">
        <v>93</v>
      </c>
      <c r="B2057" s="89" t="s">
        <v>616</v>
      </c>
      <c r="C2057" s="89">
        <v>535873</v>
      </c>
      <c r="D2057" s="89" t="s">
        <v>666</v>
      </c>
    </row>
    <row r="2058" spans="1:4" x14ac:dyDescent="0.25">
      <c r="A2058" s="89" t="s">
        <v>93</v>
      </c>
      <c r="B2058" s="89" t="s">
        <v>616</v>
      </c>
      <c r="C2058" s="89">
        <v>886150</v>
      </c>
      <c r="D2058" s="89" t="s">
        <v>664</v>
      </c>
    </row>
    <row r="2059" spans="1:4" x14ac:dyDescent="0.25">
      <c r="A2059" s="89" t="s">
        <v>93</v>
      </c>
      <c r="B2059" s="89" t="s">
        <v>616</v>
      </c>
      <c r="C2059" s="89">
        <v>2162774</v>
      </c>
      <c r="D2059" s="89" t="s">
        <v>664</v>
      </c>
    </row>
    <row r="2060" spans="1:4" x14ac:dyDescent="0.25">
      <c r="A2060" s="89" t="s">
        <v>93</v>
      </c>
      <c r="B2060" s="89" t="s">
        <v>616</v>
      </c>
      <c r="C2060" s="89">
        <v>1401088</v>
      </c>
      <c r="D2060" s="89" t="s">
        <v>663</v>
      </c>
    </row>
    <row r="2061" spans="1:4" x14ac:dyDescent="0.25">
      <c r="A2061" s="89" t="s">
        <v>93</v>
      </c>
      <c r="B2061" s="89" t="s">
        <v>616</v>
      </c>
      <c r="C2061" s="89">
        <v>1755720</v>
      </c>
      <c r="D2061" s="89" t="s">
        <v>664</v>
      </c>
    </row>
    <row r="2062" spans="1:4" x14ac:dyDescent="0.25">
      <c r="A2062" s="89" t="s">
        <v>93</v>
      </c>
      <c r="B2062" s="89" t="s">
        <v>616</v>
      </c>
      <c r="C2062" s="89">
        <v>199370</v>
      </c>
      <c r="D2062" s="89" t="s">
        <v>666</v>
      </c>
    </row>
    <row r="2063" spans="1:4" x14ac:dyDescent="0.25">
      <c r="A2063" s="89" t="s">
        <v>93</v>
      </c>
      <c r="B2063" s="89" t="s">
        <v>616</v>
      </c>
      <c r="C2063" s="89">
        <v>343896</v>
      </c>
      <c r="D2063" s="89" t="s">
        <v>666</v>
      </c>
    </row>
    <row r="2064" spans="1:4" x14ac:dyDescent="0.25">
      <c r="A2064" s="89" t="s">
        <v>93</v>
      </c>
      <c r="B2064" s="89" t="s">
        <v>616</v>
      </c>
      <c r="C2064" s="89">
        <v>318407</v>
      </c>
      <c r="D2064" s="89" t="s">
        <v>666</v>
      </c>
    </row>
    <row r="2065" spans="1:4" x14ac:dyDescent="0.25">
      <c r="A2065" s="89" t="s">
        <v>93</v>
      </c>
      <c r="B2065" s="89" t="s">
        <v>616</v>
      </c>
      <c r="C2065" s="89">
        <v>9365990</v>
      </c>
      <c r="D2065" s="89" t="s">
        <v>663</v>
      </c>
    </row>
    <row r="2066" spans="1:4" x14ac:dyDescent="0.25">
      <c r="A2066" s="89" t="s">
        <v>93</v>
      </c>
      <c r="B2066" s="89" t="s">
        <v>616</v>
      </c>
      <c r="C2066" s="89">
        <v>630442</v>
      </c>
      <c r="D2066" s="89" t="s">
        <v>664</v>
      </c>
    </row>
    <row r="2067" spans="1:4" x14ac:dyDescent="0.25">
      <c r="A2067" s="89" t="s">
        <v>93</v>
      </c>
      <c r="B2067" s="89" t="s">
        <v>616</v>
      </c>
      <c r="C2067" s="89">
        <v>4788481.3</v>
      </c>
      <c r="D2067" s="89" t="s">
        <v>664</v>
      </c>
    </row>
    <row r="2068" spans="1:4" x14ac:dyDescent="0.25">
      <c r="A2068" s="89" t="s">
        <v>93</v>
      </c>
      <c r="B2068" s="89" t="s">
        <v>616</v>
      </c>
      <c r="C2068" s="89">
        <v>2567026.7000000002</v>
      </c>
      <c r="D2068" s="89" t="s">
        <v>664</v>
      </c>
    </row>
    <row r="2069" spans="1:4" x14ac:dyDescent="0.25">
      <c r="A2069" s="89" t="s">
        <v>93</v>
      </c>
      <c r="B2069" s="89" t="s">
        <v>616</v>
      </c>
      <c r="C2069" s="89">
        <v>253440</v>
      </c>
      <c r="D2069" s="89" t="s">
        <v>666</v>
      </c>
    </row>
    <row r="2070" spans="1:4" x14ac:dyDescent="0.25">
      <c r="A2070" s="89" t="s">
        <v>93</v>
      </c>
      <c r="B2070" s="89" t="s">
        <v>616</v>
      </c>
      <c r="C2070" s="89">
        <v>468270</v>
      </c>
      <c r="D2070" s="89" t="s">
        <v>666</v>
      </c>
    </row>
    <row r="2071" spans="1:4" x14ac:dyDescent="0.25">
      <c r="A2071" s="89" t="s">
        <v>93</v>
      </c>
      <c r="B2071" s="89" t="s">
        <v>616</v>
      </c>
      <c r="C2071" s="89">
        <v>202020</v>
      </c>
      <c r="D2071" s="89" t="s">
        <v>666</v>
      </c>
    </row>
    <row r="2072" spans="1:4" x14ac:dyDescent="0.25">
      <c r="A2072" s="89" t="s">
        <v>93</v>
      </c>
      <c r="B2072" s="89" t="s">
        <v>616</v>
      </c>
      <c r="C2072" s="89">
        <v>1246900</v>
      </c>
      <c r="D2072" s="89" t="s">
        <v>663</v>
      </c>
    </row>
    <row r="2073" spans="1:4" x14ac:dyDescent="0.25">
      <c r="A2073" s="89" t="s">
        <v>93</v>
      </c>
      <c r="B2073" s="89" t="s">
        <v>616</v>
      </c>
      <c r="C2073" s="89">
        <v>782160</v>
      </c>
      <c r="D2073" s="89" t="s">
        <v>666</v>
      </c>
    </row>
    <row r="2074" spans="1:4" x14ac:dyDescent="0.25">
      <c r="A2074" s="89" t="s">
        <v>93</v>
      </c>
      <c r="B2074" s="89" t="s">
        <v>616</v>
      </c>
      <c r="C2074" s="89">
        <v>11694997</v>
      </c>
      <c r="D2074" s="89" t="s">
        <v>663</v>
      </c>
    </row>
    <row r="2075" spans="1:4" x14ac:dyDescent="0.25">
      <c r="A2075" s="89" t="s">
        <v>93</v>
      </c>
      <c r="B2075" s="89" t="s">
        <v>616</v>
      </c>
      <c r="C2075" s="89">
        <v>261599.66</v>
      </c>
      <c r="D2075" s="89" t="s">
        <v>664</v>
      </c>
    </row>
    <row r="2076" spans="1:4" x14ac:dyDescent="0.25">
      <c r="A2076" s="89" t="s">
        <v>93</v>
      </c>
      <c r="B2076" s="89" t="s">
        <v>616</v>
      </c>
      <c r="C2076" s="89">
        <v>2605837</v>
      </c>
      <c r="D2076" s="89" t="s">
        <v>666</v>
      </c>
    </row>
    <row r="2077" spans="1:4" x14ac:dyDescent="0.25">
      <c r="A2077" s="89" t="s">
        <v>93</v>
      </c>
      <c r="B2077" s="89" t="s">
        <v>616</v>
      </c>
      <c r="C2077" s="89">
        <v>5500257</v>
      </c>
      <c r="D2077" s="89" t="s">
        <v>664</v>
      </c>
    </row>
    <row r="2078" spans="1:4" x14ac:dyDescent="0.25">
      <c r="A2078" s="89" t="s">
        <v>93</v>
      </c>
      <c r="B2078" s="89" t="s">
        <v>616</v>
      </c>
      <c r="C2078" s="89">
        <v>463699</v>
      </c>
      <c r="D2078" s="89" t="s">
        <v>664</v>
      </c>
    </row>
    <row r="2079" spans="1:4" x14ac:dyDescent="0.25">
      <c r="A2079" s="89" t="s">
        <v>93</v>
      </c>
      <c r="B2079" s="89" t="s">
        <v>616</v>
      </c>
      <c r="C2079" s="89">
        <v>120017</v>
      </c>
      <c r="D2079" s="89" t="s">
        <v>664</v>
      </c>
    </row>
    <row r="2080" spans="1:4" x14ac:dyDescent="0.25">
      <c r="A2080" s="89" t="s">
        <v>93</v>
      </c>
      <c r="B2080" s="89" t="s">
        <v>616</v>
      </c>
      <c r="C2080" s="89">
        <v>6395068</v>
      </c>
      <c r="D2080" s="89" t="s">
        <v>664</v>
      </c>
    </row>
    <row r="2081" spans="1:4" x14ac:dyDescent="0.25">
      <c r="A2081" s="89" t="s">
        <v>93</v>
      </c>
      <c r="B2081" s="89" t="s">
        <v>616</v>
      </c>
      <c r="C2081" s="89">
        <v>16278881</v>
      </c>
      <c r="D2081" s="89" t="s">
        <v>663</v>
      </c>
    </row>
    <row r="2082" spans="1:4" x14ac:dyDescent="0.25">
      <c r="A2082" s="89" t="s">
        <v>93</v>
      </c>
      <c r="B2082" s="89" t="s">
        <v>616</v>
      </c>
      <c r="C2082" s="89">
        <v>4046560</v>
      </c>
      <c r="D2082" s="89" t="s">
        <v>663</v>
      </c>
    </row>
    <row r="2083" spans="1:4" x14ac:dyDescent="0.25">
      <c r="A2083" s="89" t="s">
        <v>93</v>
      </c>
      <c r="B2083" s="89" t="s">
        <v>616</v>
      </c>
      <c r="C2083" s="89">
        <v>2727998</v>
      </c>
      <c r="D2083" s="89" t="s">
        <v>666</v>
      </c>
    </row>
    <row r="2084" spans="1:4" x14ac:dyDescent="0.25">
      <c r="A2084" s="89" t="s">
        <v>93</v>
      </c>
      <c r="B2084" s="89" t="s">
        <v>616</v>
      </c>
      <c r="C2084" s="89">
        <v>30649705</v>
      </c>
      <c r="D2084" s="89" t="s">
        <v>664</v>
      </c>
    </row>
    <row r="2085" spans="1:4" x14ac:dyDescent="0.25">
      <c r="A2085" s="89" t="s">
        <v>93</v>
      </c>
      <c r="B2085" s="89" t="s">
        <v>616</v>
      </c>
      <c r="C2085" s="89">
        <v>2288504</v>
      </c>
      <c r="D2085" s="89" t="s">
        <v>664</v>
      </c>
    </row>
    <row r="2086" spans="1:4" x14ac:dyDescent="0.25">
      <c r="A2086" s="89" t="s">
        <v>93</v>
      </c>
      <c r="B2086" s="89" t="s">
        <v>616</v>
      </c>
      <c r="C2086" s="89">
        <v>1479958</v>
      </c>
      <c r="D2086" s="89" t="s">
        <v>663</v>
      </c>
    </row>
    <row r="2087" spans="1:4" x14ac:dyDescent="0.25">
      <c r="A2087" s="89" t="s">
        <v>93</v>
      </c>
      <c r="B2087" s="89" t="s">
        <v>616</v>
      </c>
      <c r="C2087" s="89">
        <v>1212528</v>
      </c>
      <c r="D2087" s="89" t="s">
        <v>663</v>
      </c>
    </row>
    <row r="2088" spans="1:4" x14ac:dyDescent="0.25">
      <c r="A2088" s="89" t="s">
        <v>93</v>
      </c>
      <c r="B2088" s="89" t="s">
        <v>616</v>
      </c>
      <c r="C2088" s="89">
        <v>6419944</v>
      </c>
      <c r="D2088" s="89" t="s">
        <v>663</v>
      </c>
    </row>
    <row r="2089" spans="1:4" x14ac:dyDescent="0.25">
      <c r="A2089" s="89" t="s">
        <v>93</v>
      </c>
      <c r="B2089" s="89" t="s">
        <v>616</v>
      </c>
      <c r="C2089" s="89">
        <v>1039515</v>
      </c>
      <c r="D2089" s="89" t="s">
        <v>664</v>
      </c>
    </row>
    <row r="2090" spans="1:4" x14ac:dyDescent="0.25">
      <c r="A2090" s="89" t="s">
        <v>93</v>
      </c>
      <c r="B2090" s="89" t="s">
        <v>616</v>
      </c>
      <c r="C2090" s="89">
        <v>557719</v>
      </c>
      <c r="D2090" s="89" t="s">
        <v>664</v>
      </c>
    </row>
    <row r="2091" spans="1:4" x14ac:dyDescent="0.25">
      <c r="A2091" s="89" t="s">
        <v>93</v>
      </c>
      <c r="B2091" s="89" t="s">
        <v>616</v>
      </c>
      <c r="C2091" s="89">
        <v>228284</v>
      </c>
      <c r="D2091" s="89" t="s">
        <v>666</v>
      </c>
    </row>
    <row r="2092" spans="1:4" x14ac:dyDescent="0.25">
      <c r="A2092" s="89" t="s">
        <v>93</v>
      </c>
      <c r="B2092" s="89" t="s">
        <v>616</v>
      </c>
      <c r="C2092" s="89">
        <v>82324</v>
      </c>
      <c r="D2092" s="89" t="s">
        <v>664</v>
      </c>
    </row>
    <row r="2093" spans="1:4" x14ac:dyDescent="0.25">
      <c r="A2093" s="89" t="s">
        <v>93</v>
      </c>
      <c r="B2093" s="89" t="s">
        <v>616</v>
      </c>
      <c r="C2093" s="89">
        <v>3037644</v>
      </c>
      <c r="D2093" s="89" t="s">
        <v>663</v>
      </c>
    </row>
    <row r="2094" spans="1:4" x14ac:dyDescent="0.25">
      <c r="A2094" s="89" t="s">
        <v>93</v>
      </c>
      <c r="B2094" s="89" t="s">
        <v>616</v>
      </c>
      <c r="C2094" s="89">
        <v>1112185.76</v>
      </c>
      <c r="D2094" s="89" t="s">
        <v>664</v>
      </c>
    </row>
    <row r="2095" spans="1:4" x14ac:dyDescent="0.25">
      <c r="A2095" s="89" t="s">
        <v>93</v>
      </c>
      <c r="B2095" s="89" t="s">
        <v>616</v>
      </c>
      <c r="C2095" s="89">
        <v>1521179.64</v>
      </c>
      <c r="D2095" s="89" t="s">
        <v>663</v>
      </c>
    </row>
    <row r="2096" spans="1:4" x14ac:dyDescent="0.25">
      <c r="A2096" s="89" t="s">
        <v>93</v>
      </c>
      <c r="B2096" s="89" t="s">
        <v>616</v>
      </c>
      <c r="C2096" s="89">
        <v>4453914.74</v>
      </c>
      <c r="D2096" s="89" t="s">
        <v>664</v>
      </c>
    </row>
    <row r="2097" spans="1:4" x14ac:dyDescent="0.25">
      <c r="A2097" s="89" t="s">
        <v>93</v>
      </c>
      <c r="B2097" s="89" t="s">
        <v>616</v>
      </c>
      <c r="C2097" s="89">
        <v>7035995</v>
      </c>
      <c r="D2097" s="89" t="s">
        <v>663</v>
      </c>
    </row>
    <row r="2098" spans="1:4" x14ac:dyDescent="0.25">
      <c r="A2098" s="89" t="s">
        <v>93</v>
      </c>
      <c r="B2098" s="89" t="s">
        <v>616</v>
      </c>
      <c r="C2098" s="89">
        <v>1753916.69</v>
      </c>
      <c r="D2098" s="89" t="s">
        <v>666</v>
      </c>
    </row>
    <row r="2099" spans="1:4" x14ac:dyDescent="0.25">
      <c r="A2099" s="89" t="s">
        <v>93</v>
      </c>
      <c r="B2099" s="89" t="s">
        <v>616</v>
      </c>
      <c r="C2099" s="89">
        <v>4039244.09</v>
      </c>
      <c r="D2099" s="89" t="s">
        <v>666</v>
      </c>
    </row>
    <row r="2100" spans="1:4" x14ac:dyDescent="0.25">
      <c r="A2100" s="89" t="s">
        <v>47</v>
      </c>
      <c r="B2100" s="89" t="s">
        <v>616</v>
      </c>
      <c r="C2100" s="89">
        <v>685495</v>
      </c>
      <c r="D2100" s="89" t="s">
        <v>664</v>
      </c>
    </row>
    <row r="2101" spans="1:4" x14ac:dyDescent="0.25">
      <c r="A2101" s="89" t="s">
        <v>47</v>
      </c>
      <c r="B2101" s="89" t="s">
        <v>616</v>
      </c>
      <c r="C2101" s="89">
        <v>456369.02</v>
      </c>
      <c r="D2101" s="89" t="s">
        <v>664</v>
      </c>
    </row>
    <row r="2102" spans="1:4" x14ac:dyDescent="0.25">
      <c r="A2102" s="89" t="s">
        <v>47</v>
      </c>
      <c r="B2102" s="89" t="s">
        <v>616</v>
      </c>
      <c r="C2102" s="89">
        <v>1792499</v>
      </c>
      <c r="D2102" s="89" t="s">
        <v>663</v>
      </c>
    </row>
    <row r="2103" spans="1:4" x14ac:dyDescent="0.25">
      <c r="A2103" s="89" t="s">
        <v>47</v>
      </c>
      <c r="B2103" s="89" t="s">
        <v>616</v>
      </c>
      <c r="C2103" s="89">
        <v>242064</v>
      </c>
      <c r="D2103" s="89" t="s">
        <v>663</v>
      </c>
    </row>
    <row r="2104" spans="1:4" x14ac:dyDescent="0.25">
      <c r="A2104" s="89" t="s">
        <v>47</v>
      </c>
      <c r="B2104" s="89" t="s">
        <v>616</v>
      </c>
      <c r="C2104" s="89">
        <v>456438.18</v>
      </c>
      <c r="D2104" s="89" t="s">
        <v>664</v>
      </c>
    </row>
    <row r="2105" spans="1:4" x14ac:dyDescent="0.25">
      <c r="A2105" s="89" t="s">
        <v>47</v>
      </c>
      <c r="B2105" s="89" t="s">
        <v>616</v>
      </c>
      <c r="C2105" s="89">
        <v>1952987</v>
      </c>
      <c r="D2105" s="89" t="s">
        <v>664</v>
      </c>
    </row>
    <row r="2106" spans="1:4" x14ac:dyDescent="0.25">
      <c r="A2106" s="89" t="s">
        <v>47</v>
      </c>
      <c r="B2106" s="89" t="s">
        <v>616</v>
      </c>
      <c r="C2106" s="89">
        <v>1720226</v>
      </c>
      <c r="D2106" s="89" t="s">
        <v>664</v>
      </c>
    </row>
    <row r="2107" spans="1:4" x14ac:dyDescent="0.25">
      <c r="A2107" s="89" t="s">
        <v>47</v>
      </c>
      <c r="B2107" s="89" t="s">
        <v>616</v>
      </c>
      <c r="C2107" s="89">
        <v>3155900</v>
      </c>
      <c r="D2107" s="89" t="s">
        <v>663</v>
      </c>
    </row>
    <row r="2108" spans="1:4" x14ac:dyDescent="0.25">
      <c r="A2108" s="89" t="s">
        <v>47</v>
      </c>
      <c r="B2108" s="89" t="s">
        <v>616</v>
      </c>
      <c r="C2108" s="89">
        <v>1532478</v>
      </c>
      <c r="D2108" s="89" t="s">
        <v>663</v>
      </c>
    </row>
    <row r="2109" spans="1:4" x14ac:dyDescent="0.25">
      <c r="A2109" s="89" t="s">
        <v>47</v>
      </c>
      <c r="B2109" s="89" t="s">
        <v>616</v>
      </c>
      <c r="C2109" s="89">
        <v>1063815</v>
      </c>
      <c r="D2109" s="89" t="s">
        <v>663</v>
      </c>
    </row>
    <row r="2110" spans="1:4" x14ac:dyDescent="0.25">
      <c r="A2110" s="89" t="s">
        <v>47</v>
      </c>
      <c r="B2110" s="89" t="s">
        <v>616</v>
      </c>
      <c r="C2110" s="89">
        <v>1046108</v>
      </c>
      <c r="D2110" s="89" t="s">
        <v>664</v>
      </c>
    </row>
    <row r="2111" spans="1:4" x14ac:dyDescent="0.25">
      <c r="A2111" s="89" t="s">
        <v>47</v>
      </c>
      <c r="B2111" s="89" t="s">
        <v>616</v>
      </c>
      <c r="C2111" s="89">
        <v>577023</v>
      </c>
      <c r="D2111" s="89" t="s">
        <v>663</v>
      </c>
    </row>
    <row r="2112" spans="1:4" x14ac:dyDescent="0.25">
      <c r="A2112" s="89" t="s">
        <v>47</v>
      </c>
      <c r="B2112" s="89" t="s">
        <v>616</v>
      </c>
      <c r="C2112" s="89">
        <v>417226</v>
      </c>
      <c r="D2112" s="89" t="s">
        <v>664</v>
      </c>
    </row>
    <row r="2113" spans="1:4" x14ac:dyDescent="0.25">
      <c r="A2113" s="89" t="s">
        <v>47</v>
      </c>
      <c r="B2113" s="89" t="s">
        <v>616</v>
      </c>
      <c r="C2113" s="89">
        <v>3403717</v>
      </c>
      <c r="D2113" s="89" t="s">
        <v>663</v>
      </c>
    </row>
    <row r="2114" spans="1:4" x14ac:dyDescent="0.25">
      <c r="A2114" s="89" t="s">
        <v>47</v>
      </c>
      <c r="B2114" s="89" t="s">
        <v>616</v>
      </c>
      <c r="C2114" s="89">
        <v>1345490</v>
      </c>
      <c r="D2114" s="89" t="s">
        <v>663</v>
      </c>
    </row>
    <row r="2115" spans="1:4" x14ac:dyDescent="0.25">
      <c r="A2115" s="89" t="s">
        <v>47</v>
      </c>
      <c r="B2115" s="89" t="s">
        <v>616</v>
      </c>
      <c r="C2115" s="89">
        <v>1125578</v>
      </c>
      <c r="D2115" s="89" t="s">
        <v>664</v>
      </c>
    </row>
    <row r="2116" spans="1:4" x14ac:dyDescent="0.25">
      <c r="A2116" s="89" t="s">
        <v>47</v>
      </c>
      <c r="B2116" s="89" t="s">
        <v>616</v>
      </c>
      <c r="C2116" s="89">
        <v>58241</v>
      </c>
      <c r="D2116" s="89" t="s">
        <v>666</v>
      </c>
    </row>
    <row r="2117" spans="1:4" x14ac:dyDescent="0.25">
      <c r="A2117" s="89" t="s">
        <v>47</v>
      </c>
      <c r="B2117" s="89" t="s">
        <v>616</v>
      </c>
      <c r="C2117" s="89">
        <v>976188</v>
      </c>
      <c r="D2117" s="89" t="s">
        <v>664</v>
      </c>
    </row>
    <row r="2118" spans="1:4" x14ac:dyDescent="0.25">
      <c r="A2118" s="89" t="s">
        <v>47</v>
      </c>
      <c r="B2118" s="89" t="s">
        <v>616</v>
      </c>
      <c r="C2118" s="89">
        <v>1466296</v>
      </c>
      <c r="D2118" s="89" t="s">
        <v>663</v>
      </c>
    </row>
    <row r="2119" spans="1:4" x14ac:dyDescent="0.25">
      <c r="A2119" s="89" t="s">
        <v>47</v>
      </c>
      <c r="B2119" s="89" t="s">
        <v>616</v>
      </c>
      <c r="C2119" s="89">
        <v>1597335</v>
      </c>
      <c r="D2119" s="89" t="s">
        <v>663</v>
      </c>
    </row>
    <row r="2120" spans="1:4" x14ac:dyDescent="0.25">
      <c r="A2120" s="89" t="s">
        <v>47</v>
      </c>
      <c r="B2120" s="89" t="s">
        <v>616</v>
      </c>
      <c r="C2120" s="89">
        <v>6389887</v>
      </c>
      <c r="D2120" s="89" t="s">
        <v>663</v>
      </c>
    </row>
    <row r="2121" spans="1:4" x14ac:dyDescent="0.25">
      <c r="A2121" s="89" t="s">
        <v>47</v>
      </c>
      <c r="B2121" s="89" t="s">
        <v>616</v>
      </c>
      <c r="C2121" s="89">
        <v>45736</v>
      </c>
      <c r="D2121" s="89" t="s">
        <v>664</v>
      </c>
    </row>
    <row r="2122" spans="1:4" x14ac:dyDescent="0.25">
      <c r="A2122" s="89" t="s">
        <v>47</v>
      </c>
      <c r="B2122" s="89" t="s">
        <v>616</v>
      </c>
      <c r="C2122" s="89">
        <v>1880552</v>
      </c>
      <c r="D2122" s="89" t="s">
        <v>663</v>
      </c>
    </row>
    <row r="2123" spans="1:4" x14ac:dyDescent="0.25">
      <c r="A2123" s="89" t="s">
        <v>47</v>
      </c>
      <c r="B2123" s="89" t="s">
        <v>616</v>
      </c>
      <c r="C2123" s="89">
        <v>89605</v>
      </c>
      <c r="D2123" s="89" t="s">
        <v>666</v>
      </c>
    </row>
    <row r="2124" spans="1:4" x14ac:dyDescent="0.25">
      <c r="A2124" s="89" t="s">
        <v>47</v>
      </c>
      <c r="B2124" s="89" t="s">
        <v>616</v>
      </c>
      <c r="C2124" s="89">
        <v>218070</v>
      </c>
      <c r="D2124" s="89" t="s">
        <v>664</v>
      </c>
    </row>
    <row r="2125" spans="1:4" x14ac:dyDescent="0.25">
      <c r="A2125" s="89" t="s">
        <v>47</v>
      </c>
      <c r="B2125" s="89" t="s">
        <v>616</v>
      </c>
      <c r="C2125" s="89">
        <v>990000</v>
      </c>
      <c r="D2125" s="89" t="s">
        <v>664</v>
      </c>
    </row>
    <row r="2126" spans="1:4" x14ac:dyDescent="0.25">
      <c r="A2126" s="89" t="s">
        <v>47</v>
      </c>
      <c r="B2126" s="89" t="s">
        <v>616</v>
      </c>
      <c r="C2126" s="89">
        <v>2009552</v>
      </c>
      <c r="D2126" s="89" t="s">
        <v>663</v>
      </c>
    </row>
    <row r="2127" spans="1:4" x14ac:dyDescent="0.25">
      <c r="A2127" s="89" t="s">
        <v>47</v>
      </c>
      <c r="B2127" s="89" t="s">
        <v>616</v>
      </c>
      <c r="C2127" s="89">
        <v>3386130</v>
      </c>
      <c r="D2127" s="89" t="s">
        <v>663</v>
      </c>
    </row>
    <row r="2128" spans="1:4" x14ac:dyDescent="0.25">
      <c r="A2128" s="89" t="s">
        <v>47</v>
      </c>
      <c r="B2128" s="89" t="s">
        <v>616</v>
      </c>
      <c r="C2128" s="89">
        <v>1597284</v>
      </c>
      <c r="D2128" s="89" t="s">
        <v>664</v>
      </c>
    </row>
    <row r="2129" spans="1:4" x14ac:dyDescent="0.25">
      <c r="A2129" s="89" t="s">
        <v>47</v>
      </c>
      <c r="B2129" s="89" t="s">
        <v>616</v>
      </c>
      <c r="C2129" s="89">
        <v>1967941</v>
      </c>
      <c r="D2129" s="89" t="s">
        <v>666</v>
      </c>
    </row>
    <row r="2130" spans="1:4" x14ac:dyDescent="0.25">
      <c r="A2130" s="89" t="s">
        <v>47</v>
      </c>
      <c r="B2130" s="89" t="s">
        <v>616</v>
      </c>
      <c r="C2130" s="89">
        <v>976002</v>
      </c>
      <c r="D2130" s="89" t="s">
        <v>664</v>
      </c>
    </row>
    <row r="2131" spans="1:4" x14ac:dyDescent="0.25">
      <c r="A2131" s="89" t="s">
        <v>47</v>
      </c>
      <c r="B2131" s="89" t="s">
        <v>616</v>
      </c>
      <c r="C2131" s="89">
        <v>11182976</v>
      </c>
      <c r="D2131" s="89" t="s">
        <v>663</v>
      </c>
    </row>
    <row r="2132" spans="1:4" x14ac:dyDescent="0.25">
      <c r="A2132" s="89" t="s">
        <v>47</v>
      </c>
      <c r="B2132" s="89" t="s">
        <v>616</v>
      </c>
      <c r="C2132" s="89">
        <v>751928</v>
      </c>
      <c r="D2132" s="89" t="s">
        <v>664</v>
      </c>
    </row>
    <row r="2133" spans="1:4" x14ac:dyDescent="0.25">
      <c r="A2133" s="89" t="s">
        <v>47</v>
      </c>
      <c r="B2133" s="89" t="s">
        <v>616</v>
      </c>
      <c r="C2133" s="89">
        <v>1367402</v>
      </c>
      <c r="D2133" s="89" t="s">
        <v>666</v>
      </c>
    </row>
    <row r="2134" spans="1:4" x14ac:dyDescent="0.25">
      <c r="A2134" s="89" t="s">
        <v>47</v>
      </c>
      <c r="B2134" s="89" t="s">
        <v>616</v>
      </c>
      <c r="C2134" s="89">
        <v>959203</v>
      </c>
      <c r="D2134" s="89" t="s">
        <v>663</v>
      </c>
    </row>
    <row r="2135" spans="1:4" x14ac:dyDescent="0.25">
      <c r="A2135" s="89" t="s">
        <v>47</v>
      </c>
      <c r="B2135" s="89" t="s">
        <v>616</v>
      </c>
      <c r="C2135" s="89">
        <v>130244</v>
      </c>
      <c r="D2135" s="89" t="s">
        <v>663</v>
      </c>
    </row>
    <row r="2136" spans="1:4" x14ac:dyDescent="0.25">
      <c r="A2136" s="89" t="s">
        <v>47</v>
      </c>
      <c r="B2136" s="89" t="s">
        <v>616</v>
      </c>
      <c r="C2136" s="89">
        <v>-544683</v>
      </c>
      <c r="D2136" s="89" t="s">
        <v>664</v>
      </c>
    </row>
    <row r="2137" spans="1:4" x14ac:dyDescent="0.25">
      <c r="A2137" s="89" t="s">
        <v>47</v>
      </c>
      <c r="B2137" s="89" t="s">
        <v>616</v>
      </c>
      <c r="C2137" s="89">
        <v>1183741</v>
      </c>
      <c r="D2137" s="89" t="s">
        <v>666</v>
      </c>
    </row>
    <row r="2138" spans="1:4" x14ac:dyDescent="0.25">
      <c r="A2138" s="89" t="s">
        <v>47</v>
      </c>
      <c r="B2138" s="89" t="s">
        <v>616</v>
      </c>
      <c r="C2138" s="89">
        <v>-13865.95</v>
      </c>
      <c r="D2138" s="89" t="s">
        <v>666</v>
      </c>
    </row>
    <row r="2139" spans="1:4" x14ac:dyDescent="0.25">
      <c r="A2139" s="89" t="s">
        <v>47</v>
      </c>
      <c r="B2139" s="89" t="s">
        <v>616</v>
      </c>
      <c r="C2139" s="89">
        <v>125000</v>
      </c>
      <c r="D2139" s="89" t="s">
        <v>666</v>
      </c>
    </row>
    <row r="2140" spans="1:4" x14ac:dyDescent="0.25">
      <c r="A2140" s="89" t="s">
        <v>47</v>
      </c>
      <c r="B2140" s="89" t="s">
        <v>616</v>
      </c>
      <c r="C2140" s="89">
        <v>80767</v>
      </c>
      <c r="D2140" s="89" t="s">
        <v>664</v>
      </c>
    </row>
    <row r="2141" spans="1:4" x14ac:dyDescent="0.25">
      <c r="A2141" s="89" t="s">
        <v>47</v>
      </c>
      <c r="B2141" s="89" t="s">
        <v>616</v>
      </c>
      <c r="C2141" s="89">
        <v>-117351.73</v>
      </c>
      <c r="D2141" s="89" t="s">
        <v>664</v>
      </c>
    </row>
    <row r="2142" spans="1:4" x14ac:dyDescent="0.25">
      <c r="A2142" s="89" t="s">
        <v>47</v>
      </c>
      <c r="B2142" s="89" t="s">
        <v>616</v>
      </c>
      <c r="C2142" s="89">
        <v>-1020135.62</v>
      </c>
      <c r="D2142" s="89" t="s">
        <v>663</v>
      </c>
    </row>
    <row r="2143" spans="1:4" x14ac:dyDescent="0.25">
      <c r="A2143" s="89" t="s">
        <v>47</v>
      </c>
      <c r="B2143" s="89" t="s">
        <v>616</v>
      </c>
      <c r="C2143" s="89">
        <v>377843</v>
      </c>
      <c r="D2143" s="89" t="s">
        <v>663</v>
      </c>
    </row>
    <row r="2144" spans="1:4" x14ac:dyDescent="0.25">
      <c r="A2144" s="89" t="s">
        <v>47</v>
      </c>
      <c r="B2144" s="89" t="s">
        <v>616</v>
      </c>
      <c r="C2144" s="89">
        <v>5232603</v>
      </c>
      <c r="D2144" s="89" t="s">
        <v>664</v>
      </c>
    </row>
    <row r="2145" spans="1:4" x14ac:dyDescent="0.25">
      <c r="A2145" s="89" t="s">
        <v>47</v>
      </c>
      <c r="B2145" s="89" t="s">
        <v>616</v>
      </c>
      <c r="C2145" s="89">
        <v>3596431</v>
      </c>
      <c r="D2145" s="89" t="s">
        <v>664</v>
      </c>
    </row>
    <row r="2146" spans="1:4" x14ac:dyDescent="0.25">
      <c r="A2146" s="89" t="s">
        <v>47</v>
      </c>
      <c r="B2146" s="89" t="s">
        <v>616</v>
      </c>
      <c r="C2146" s="89">
        <v>1011765</v>
      </c>
      <c r="D2146" s="89" t="s">
        <v>663</v>
      </c>
    </row>
    <row r="2147" spans="1:4" x14ac:dyDescent="0.25">
      <c r="A2147" s="89" t="s">
        <v>47</v>
      </c>
      <c r="B2147" s="89" t="s">
        <v>616</v>
      </c>
      <c r="C2147" s="89">
        <v>36793</v>
      </c>
      <c r="D2147" s="89" t="s">
        <v>666</v>
      </c>
    </row>
    <row r="2148" spans="1:4" x14ac:dyDescent="0.25">
      <c r="A2148" s="89" t="s">
        <v>47</v>
      </c>
      <c r="B2148" s="89" t="s">
        <v>616</v>
      </c>
      <c r="C2148" s="89">
        <v>622264</v>
      </c>
      <c r="D2148" s="89" t="s">
        <v>663</v>
      </c>
    </row>
    <row r="2149" spans="1:4" x14ac:dyDescent="0.25">
      <c r="A2149" s="89" t="s">
        <v>47</v>
      </c>
      <c r="B2149" s="89" t="s">
        <v>616</v>
      </c>
      <c r="C2149" s="89">
        <v>3947323</v>
      </c>
      <c r="D2149" s="89" t="s">
        <v>663</v>
      </c>
    </row>
    <row r="2150" spans="1:4" x14ac:dyDescent="0.25">
      <c r="A2150" s="89" t="s">
        <v>47</v>
      </c>
      <c r="B2150" s="89" t="s">
        <v>616</v>
      </c>
      <c r="C2150" s="89">
        <v>-15</v>
      </c>
      <c r="D2150" s="89" t="s">
        <v>666</v>
      </c>
    </row>
    <row r="2151" spans="1:4" x14ac:dyDescent="0.25">
      <c r="A2151" s="89" t="s">
        <v>47</v>
      </c>
      <c r="B2151" s="89" t="s">
        <v>616</v>
      </c>
      <c r="C2151" s="89">
        <v>1846338</v>
      </c>
      <c r="D2151" s="89" t="s">
        <v>663</v>
      </c>
    </row>
    <row r="2152" spans="1:4" x14ac:dyDescent="0.25">
      <c r="A2152" s="89" t="s">
        <v>47</v>
      </c>
      <c r="B2152" s="89" t="s">
        <v>616</v>
      </c>
      <c r="C2152" s="89">
        <v>152949</v>
      </c>
      <c r="D2152" s="89" t="s">
        <v>666</v>
      </c>
    </row>
    <row r="2153" spans="1:4" x14ac:dyDescent="0.25">
      <c r="A2153" s="89" t="s">
        <v>92</v>
      </c>
      <c r="B2153" s="89" t="s">
        <v>617</v>
      </c>
      <c r="C2153" s="89">
        <v>542005</v>
      </c>
      <c r="D2153" s="89" t="s">
        <v>664</v>
      </c>
    </row>
    <row r="2154" spans="1:4" x14ac:dyDescent="0.25">
      <c r="A2154" s="89" t="s">
        <v>92</v>
      </c>
      <c r="B2154" s="89" t="s">
        <v>617</v>
      </c>
      <c r="C2154" s="89">
        <v>800000</v>
      </c>
      <c r="D2154" s="89" t="s">
        <v>663</v>
      </c>
    </row>
    <row r="2155" spans="1:4" x14ac:dyDescent="0.25">
      <c r="A2155" s="89" t="s">
        <v>92</v>
      </c>
      <c r="B2155" s="89" t="s">
        <v>617</v>
      </c>
      <c r="C2155" s="89">
        <v>2077315.51</v>
      </c>
      <c r="D2155" s="89" t="s">
        <v>664</v>
      </c>
    </row>
    <row r="2156" spans="1:4" x14ac:dyDescent="0.25">
      <c r="A2156" s="89" t="s">
        <v>92</v>
      </c>
      <c r="B2156" s="89" t="s">
        <v>617</v>
      </c>
      <c r="C2156" s="89">
        <v>139130.94</v>
      </c>
      <c r="D2156" s="89" t="s">
        <v>666</v>
      </c>
    </row>
    <row r="2157" spans="1:4" x14ac:dyDescent="0.25">
      <c r="A2157" s="89" t="s">
        <v>92</v>
      </c>
      <c r="B2157" s="89" t="s">
        <v>617</v>
      </c>
      <c r="C2157" s="89">
        <v>617397.55000000005</v>
      </c>
      <c r="D2157" s="89" t="s">
        <v>666</v>
      </c>
    </row>
    <row r="2158" spans="1:4" x14ac:dyDescent="0.25">
      <c r="A2158" s="89" t="s">
        <v>92</v>
      </c>
      <c r="B2158" s="89" t="s">
        <v>617</v>
      </c>
      <c r="C2158" s="89">
        <v>225789.09</v>
      </c>
      <c r="D2158" s="89" t="s">
        <v>666</v>
      </c>
    </row>
    <row r="2159" spans="1:4" x14ac:dyDescent="0.25">
      <c r="A2159" s="89" t="s">
        <v>92</v>
      </c>
      <c r="B2159" s="89" t="s">
        <v>617</v>
      </c>
      <c r="C2159" s="89">
        <v>1797446.12</v>
      </c>
      <c r="D2159" s="89" t="s">
        <v>664</v>
      </c>
    </row>
    <row r="2160" spans="1:4" x14ac:dyDescent="0.25">
      <c r="A2160" s="89" t="s">
        <v>92</v>
      </c>
      <c r="B2160" s="89" t="s">
        <v>617</v>
      </c>
      <c r="C2160" s="89">
        <v>8897800.0500000007</v>
      </c>
      <c r="D2160" s="89" t="s">
        <v>664</v>
      </c>
    </row>
    <row r="2161" spans="1:4" x14ac:dyDescent="0.25">
      <c r="A2161" s="89" t="s">
        <v>92</v>
      </c>
      <c r="B2161" s="89" t="s">
        <v>617</v>
      </c>
      <c r="C2161" s="89">
        <v>166804.68</v>
      </c>
      <c r="D2161" s="89" t="s">
        <v>664</v>
      </c>
    </row>
    <row r="2162" spans="1:4" x14ac:dyDescent="0.25">
      <c r="A2162" s="89" t="s">
        <v>92</v>
      </c>
      <c r="B2162" s="89" t="s">
        <v>617</v>
      </c>
      <c r="C2162" s="89">
        <v>495811.52</v>
      </c>
      <c r="D2162" s="89" t="s">
        <v>664</v>
      </c>
    </row>
    <row r="2163" spans="1:4" x14ac:dyDescent="0.25">
      <c r="A2163" s="89" t="s">
        <v>92</v>
      </c>
      <c r="B2163" s="89" t="s">
        <v>617</v>
      </c>
      <c r="C2163" s="89">
        <v>369929.79</v>
      </c>
      <c r="D2163" s="89" t="s">
        <v>666</v>
      </c>
    </row>
    <row r="2164" spans="1:4" x14ac:dyDescent="0.25">
      <c r="A2164" s="89" t="s">
        <v>92</v>
      </c>
      <c r="B2164" s="89" t="s">
        <v>617</v>
      </c>
      <c r="C2164" s="89">
        <v>965275.4</v>
      </c>
      <c r="D2164" s="89" t="s">
        <v>663</v>
      </c>
    </row>
    <row r="2165" spans="1:4" x14ac:dyDescent="0.25">
      <c r="A2165" s="89" t="s">
        <v>92</v>
      </c>
      <c r="B2165" s="89" t="s">
        <v>617</v>
      </c>
      <c r="C2165" s="89">
        <v>882603.6</v>
      </c>
      <c r="D2165" s="89" t="s">
        <v>664</v>
      </c>
    </row>
    <row r="2166" spans="1:4" x14ac:dyDescent="0.25">
      <c r="A2166" s="89" t="s">
        <v>92</v>
      </c>
      <c r="B2166" s="89" t="s">
        <v>617</v>
      </c>
      <c r="C2166" s="89">
        <v>208937.1</v>
      </c>
      <c r="D2166" s="89" t="s">
        <v>664</v>
      </c>
    </row>
    <row r="2167" spans="1:4" x14ac:dyDescent="0.25">
      <c r="A2167" s="89" t="s">
        <v>92</v>
      </c>
      <c r="B2167" s="89" t="s">
        <v>617</v>
      </c>
      <c r="C2167" s="89">
        <v>147208.29999999999</v>
      </c>
      <c r="D2167" s="89" t="s">
        <v>663</v>
      </c>
    </row>
    <row r="2168" spans="1:4" x14ac:dyDescent="0.25">
      <c r="A2168" s="89" t="s">
        <v>92</v>
      </c>
      <c r="B2168" s="89" t="s">
        <v>617</v>
      </c>
      <c r="C2168" s="89">
        <v>128641.1</v>
      </c>
      <c r="D2168" s="89" t="s">
        <v>663</v>
      </c>
    </row>
    <row r="2169" spans="1:4" x14ac:dyDescent="0.25">
      <c r="A2169" s="89" t="s">
        <v>92</v>
      </c>
      <c r="B2169" s="89" t="s">
        <v>617</v>
      </c>
      <c r="C2169" s="89">
        <v>357269.89</v>
      </c>
      <c r="D2169" s="89" t="s">
        <v>663</v>
      </c>
    </row>
    <row r="2170" spans="1:4" x14ac:dyDescent="0.25">
      <c r="A2170" s="89" t="s">
        <v>92</v>
      </c>
      <c r="B2170" s="89" t="s">
        <v>617</v>
      </c>
      <c r="C2170" s="89">
        <v>1365993.66</v>
      </c>
      <c r="D2170" s="89" t="s">
        <v>663</v>
      </c>
    </row>
    <row r="2171" spans="1:4" x14ac:dyDescent="0.25">
      <c r="A2171" s="89" t="s">
        <v>92</v>
      </c>
      <c r="B2171" s="89" t="s">
        <v>617</v>
      </c>
      <c r="C2171" s="89">
        <v>2864203</v>
      </c>
      <c r="D2171" s="89" t="s">
        <v>664</v>
      </c>
    </row>
    <row r="2172" spans="1:4" x14ac:dyDescent="0.25">
      <c r="A2172" s="89" t="s">
        <v>92</v>
      </c>
      <c r="B2172" s="89" t="s">
        <v>617</v>
      </c>
      <c r="C2172" s="89">
        <v>401046</v>
      </c>
      <c r="D2172" s="89" t="s">
        <v>663</v>
      </c>
    </row>
    <row r="2173" spans="1:4" x14ac:dyDescent="0.25">
      <c r="A2173" s="89" t="s">
        <v>92</v>
      </c>
      <c r="B2173" s="89" t="s">
        <v>617</v>
      </c>
      <c r="C2173" s="89">
        <v>177112</v>
      </c>
      <c r="D2173" s="89" t="s">
        <v>664</v>
      </c>
    </row>
    <row r="2174" spans="1:4" x14ac:dyDescent="0.25">
      <c r="A2174" s="89" t="s">
        <v>92</v>
      </c>
      <c r="B2174" s="89" t="s">
        <v>617</v>
      </c>
      <c r="C2174" s="89">
        <v>570519</v>
      </c>
      <c r="D2174" s="89" t="s">
        <v>663</v>
      </c>
    </row>
    <row r="2175" spans="1:4" x14ac:dyDescent="0.25">
      <c r="A2175" s="89" t="s">
        <v>92</v>
      </c>
      <c r="B2175" s="89" t="s">
        <v>617</v>
      </c>
      <c r="C2175" s="89">
        <v>424232.5</v>
      </c>
      <c r="D2175" s="89" t="s">
        <v>664</v>
      </c>
    </row>
    <row r="2176" spans="1:4" x14ac:dyDescent="0.25">
      <c r="A2176" s="89" t="s">
        <v>92</v>
      </c>
      <c r="B2176" s="89" t="s">
        <v>617</v>
      </c>
      <c r="C2176" s="89">
        <v>832103.08</v>
      </c>
      <c r="D2176" s="89" t="s">
        <v>666</v>
      </c>
    </row>
    <row r="2177" spans="1:4" x14ac:dyDescent="0.25">
      <c r="A2177" s="89" t="s">
        <v>92</v>
      </c>
      <c r="B2177" s="89" t="s">
        <v>617</v>
      </c>
      <c r="C2177" s="89">
        <v>-41722.65</v>
      </c>
      <c r="D2177" s="89" t="s">
        <v>663</v>
      </c>
    </row>
    <row r="2178" spans="1:4" x14ac:dyDescent="0.25">
      <c r="A2178" s="89" t="s">
        <v>92</v>
      </c>
      <c r="B2178" s="89" t="s">
        <v>617</v>
      </c>
      <c r="C2178" s="89">
        <v>-2225574.4300000002</v>
      </c>
      <c r="D2178" s="89" t="s">
        <v>664</v>
      </c>
    </row>
    <row r="2179" spans="1:4" x14ac:dyDescent="0.25">
      <c r="A2179" s="89" t="s">
        <v>92</v>
      </c>
      <c r="B2179" s="89" t="s">
        <v>617</v>
      </c>
      <c r="C2179" s="89">
        <v>415154.68</v>
      </c>
      <c r="D2179" s="89" t="s">
        <v>663</v>
      </c>
    </row>
    <row r="2180" spans="1:4" x14ac:dyDescent="0.25">
      <c r="A2180" s="89" t="s">
        <v>92</v>
      </c>
      <c r="B2180" s="89" t="s">
        <v>617</v>
      </c>
      <c r="C2180" s="89">
        <v>796750.08</v>
      </c>
      <c r="D2180" s="89" t="s">
        <v>664</v>
      </c>
    </row>
    <row r="2181" spans="1:4" x14ac:dyDescent="0.25">
      <c r="A2181" s="89" t="s">
        <v>92</v>
      </c>
      <c r="B2181" s="89" t="s">
        <v>617</v>
      </c>
      <c r="C2181" s="89">
        <v>979565.67</v>
      </c>
      <c r="D2181" s="89" t="s">
        <v>663</v>
      </c>
    </row>
    <row r="2182" spans="1:4" x14ac:dyDescent="0.25">
      <c r="A2182" s="89" t="s">
        <v>92</v>
      </c>
      <c r="B2182" s="89" t="s">
        <v>617</v>
      </c>
      <c r="C2182" s="89">
        <v>861693.31</v>
      </c>
      <c r="D2182" s="89" t="s">
        <v>664</v>
      </c>
    </row>
    <row r="2183" spans="1:4" x14ac:dyDescent="0.25">
      <c r="A2183" s="89" t="s">
        <v>92</v>
      </c>
      <c r="B2183" s="89" t="s">
        <v>617</v>
      </c>
      <c r="C2183" s="89">
        <v>418229.26</v>
      </c>
      <c r="D2183" s="89" t="s">
        <v>666</v>
      </c>
    </row>
    <row r="2184" spans="1:4" x14ac:dyDescent="0.25">
      <c r="A2184" s="89" t="s">
        <v>92</v>
      </c>
      <c r="B2184" s="89" t="s">
        <v>617</v>
      </c>
      <c r="C2184" s="89">
        <v>149271.59</v>
      </c>
      <c r="D2184" s="89" t="s">
        <v>666</v>
      </c>
    </row>
    <row r="2185" spans="1:4" x14ac:dyDescent="0.25">
      <c r="A2185" s="89" t="s">
        <v>92</v>
      </c>
      <c r="B2185" s="89" t="s">
        <v>617</v>
      </c>
      <c r="C2185" s="89">
        <v>158275.81</v>
      </c>
      <c r="D2185" s="89" t="s">
        <v>666</v>
      </c>
    </row>
    <row r="2186" spans="1:4" x14ac:dyDescent="0.25">
      <c r="A2186" s="89" t="s">
        <v>92</v>
      </c>
      <c r="B2186" s="89" t="s">
        <v>617</v>
      </c>
      <c r="C2186" s="89">
        <v>62685.91</v>
      </c>
      <c r="D2186" s="89" t="s">
        <v>663</v>
      </c>
    </row>
    <row r="2187" spans="1:4" x14ac:dyDescent="0.25">
      <c r="A2187" s="89" t="s">
        <v>92</v>
      </c>
      <c r="B2187" s="89" t="s">
        <v>617</v>
      </c>
      <c r="C2187" s="89">
        <v>752719.64</v>
      </c>
      <c r="D2187" s="89" t="s">
        <v>666</v>
      </c>
    </row>
    <row r="2188" spans="1:4" x14ac:dyDescent="0.25">
      <c r="A2188" s="89" t="s">
        <v>92</v>
      </c>
      <c r="B2188" s="89" t="s">
        <v>617</v>
      </c>
      <c r="C2188" s="89">
        <v>70000</v>
      </c>
      <c r="D2188" s="89" t="s">
        <v>663</v>
      </c>
    </row>
    <row r="2189" spans="1:4" x14ac:dyDescent="0.25">
      <c r="A2189" s="89" t="s">
        <v>92</v>
      </c>
      <c r="B2189" s="89" t="s">
        <v>617</v>
      </c>
      <c r="C2189" s="89">
        <v>47244.95</v>
      </c>
      <c r="D2189" s="89" t="s">
        <v>666</v>
      </c>
    </row>
    <row r="2190" spans="1:4" x14ac:dyDescent="0.25">
      <c r="A2190" s="89" t="s">
        <v>92</v>
      </c>
      <c r="B2190" s="89" t="s">
        <v>617</v>
      </c>
      <c r="C2190" s="89">
        <v>1097302</v>
      </c>
      <c r="D2190" s="89" t="s">
        <v>666</v>
      </c>
    </row>
    <row r="2191" spans="1:4" x14ac:dyDescent="0.25">
      <c r="A2191" s="89" t="s">
        <v>92</v>
      </c>
      <c r="B2191" s="89" t="s">
        <v>617</v>
      </c>
      <c r="C2191" s="89">
        <v>108153.96</v>
      </c>
      <c r="D2191" s="89" t="s">
        <v>663</v>
      </c>
    </row>
    <row r="2192" spans="1:4" x14ac:dyDescent="0.25">
      <c r="A2192" s="89" t="s">
        <v>92</v>
      </c>
      <c r="B2192" s="89" t="s">
        <v>617</v>
      </c>
      <c r="C2192" s="89">
        <v>73253.320000000007</v>
      </c>
      <c r="D2192" s="89" t="s">
        <v>663</v>
      </c>
    </row>
    <row r="2193" spans="1:4" x14ac:dyDescent="0.25">
      <c r="A2193" s="89" t="s">
        <v>92</v>
      </c>
      <c r="B2193" s="89" t="s">
        <v>617</v>
      </c>
      <c r="C2193" s="89">
        <v>92576.75</v>
      </c>
      <c r="D2193" s="89" t="s">
        <v>663</v>
      </c>
    </row>
    <row r="2194" spans="1:4" x14ac:dyDescent="0.25">
      <c r="A2194" s="89" t="s">
        <v>92</v>
      </c>
      <c r="B2194" s="89" t="s">
        <v>617</v>
      </c>
      <c r="C2194" s="89">
        <v>778354.1</v>
      </c>
      <c r="D2194" s="89" t="s">
        <v>663</v>
      </c>
    </row>
    <row r="2195" spans="1:4" x14ac:dyDescent="0.25">
      <c r="A2195" s="89" t="s">
        <v>92</v>
      </c>
      <c r="B2195" s="89" t="s">
        <v>617</v>
      </c>
      <c r="C2195" s="89">
        <v>99949.9</v>
      </c>
      <c r="D2195" s="89" t="s">
        <v>663</v>
      </c>
    </row>
    <row r="2196" spans="1:4" x14ac:dyDescent="0.25">
      <c r="A2196" s="89" t="s">
        <v>92</v>
      </c>
      <c r="B2196" s="89" t="s">
        <v>617</v>
      </c>
      <c r="C2196" s="89">
        <v>490255.6</v>
      </c>
      <c r="D2196" s="89" t="s">
        <v>663</v>
      </c>
    </row>
    <row r="2197" spans="1:4" x14ac:dyDescent="0.25">
      <c r="A2197" s="89" t="s">
        <v>92</v>
      </c>
      <c r="B2197" s="89" t="s">
        <v>617</v>
      </c>
      <c r="C2197" s="89">
        <v>574952</v>
      </c>
      <c r="D2197" s="89" t="s">
        <v>664</v>
      </c>
    </row>
    <row r="2198" spans="1:4" x14ac:dyDescent="0.25">
      <c r="A2198" s="89" t="s">
        <v>92</v>
      </c>
      <c r="B2198" s="89" t="s">
        <v>617</v>
      </c>
      <c r="C2198" s="89">
        <v>-130021.68</v>
      </c>
      <c r="D2198" s="89" t="s">
        <v>663</v>
      </c>
    </row>
    <row r="2199" spans="1:4" x14ac:dyDescent="0.25">
      <c r="A2199" s="89" t="s">
        <v>92</v>
      </c>
      <c r="B2199" s="89" t="s">
        <v>617</v>
      </c>
      <c r="C2199" s="89">
        <v>-105534.94</v>
      </c>
      <c r="D2199" s="89" t="s">
        <v>664</v>
      </c>
    </row>
    <row r="2200" spans="1:4" x14ac:dyDescent="0.25">
      <c r="A2200" s="89" t="s">
        <v>92</v>
      </c>
      <c r="B2200" s="89" t="s">
        <v>617</v>
      </c>
      <c r="C2200" s="89">
        <v>94412.27</v>
      </c>
      <c r="D2200" s="89" t="s">
        <v>663</v>
      </c>
    </row>
    <row r="2201" spans="1:4" x14ac:dyDescent="0.25">
      <c r="A2201" s="89" t="s">
        <v>92</v>
      </c>
      <c r="B2201" s="89" t="s">
        <v>617</v>
      </c>
      <c r="C2201" s="89">
        <v>77206.509999999995</v>
      </c>
      <c r="D2201" s="89" t="s">
        <v>663</v>
      </c>
    </row>
    <row r="2202" spans="1:4" x14ac:dyDescent="0.25">
      <c r="A2202" s="89" t="s">
        <v>92</v>
      </c>
      <c r="B2202" s="89" t="s">
        <v>617</v>
      </c>
      <c r="C2202" s="89">
        <v>96912.66</v>
      </c>
      <c r="D2202" s="89" t="s">
        <v>663</v>
      </c>
    </row>
    <row r="2203" spans="1:4" x14ac:dyDescent="0.25">
      <c r="A2203" s="89" t="s">
        <v>92</v>
      </c>
      <c r="B2203" s="89" t="s">
        <v>617</v>
      </c>
      <c r="C2203" s="89">
        <v>143862.9</v>
      </c>
      <c r="D2203" s="89" t="s">
        <v>663</v>
      </c>
    </row>
    <row r="2204" spans="1:4" x14ac:dyDescent="0.25">
      <c r="A2204" s="89" t="s">
        <v>92</v>
      </c>
      <c r="B2204" s="89" t="s">
        <v>617</v>
      </c>
      <c r="C2204" s="89">
        <v>84667.42</v>
      </c>
      <c r="D2204" s="89" t="s">
        <v>663</v>
      </c>
    </row>
    <row r="2205" spans="1:4" x14ac:dyDescent="0.25">
      <c r="A2205" s="89" t="s">
        <v>92</v>
      </c>
      <c r="B2205" s="89" t="s">
        <v>617</v>
      </c>
      <c r="C2205" s="89">
        <v>162455.24</v>
      </c>
      <c r="D2205" s="89" t="s">
        <v>666</v>
      </c>
    </row>
    <row r="2206" spans="1:4" x14ac:dyDescent="0.25">
      <c r="A2206" s="89" t="s">
        <v>92</v>
      </c>
      <c r="B2206" s="89" t="s">
        <v>617</v>
      </c>
      <c r="C2206" s="89">
        <v>427639.8</v>
      </c>
      <c r="D2206" s="89" t="s">
        <v>664</v>
      </c>
    </row>
    <row r="2207" spans="1:4" x14ac:dyDescent="0.25">
      <c r="A2207" s="89" t="s">
        <v>92</v>
      </c>
      <c r="B2207" s="89" t="s">
        <v>617</v>
      </c>
      <c r="C2207" s="89">
        <v>394754.26</v>
      </c>
      <c r="D2207" s="89" t="s">
        <v>666</v>
      </c>
    </row>
    <row r="2208" spans="1:4" x14ac:dyDescent="0.25">
      <c r="A2208" s="89" t="s">
        <v>92</v>
      </c>
      <c r="B2208" s="89" t="s">
        <v>617</v>
      </c>
      <c r="C2208" s="89">
        <v>459885.64</v>
      </c>
      <c r="D2208" s="89" t="s">
        <v>663</v>
      </c>
    </row>
    <row r="2209" spans="1:4" x14ac:dyDescent="0.25">
      <c r="A2209" s="89" t="s">
        <v>92</v>
      </c>
      <c r="B2209" s="89" t="s">
        <v>617</v>
      </c>
      <c r="C2209" s="89">
        <v>61598.1</v>
      </c>
      <c r="D2209" s="89" t="s">
        <v>663</v>
      </c>
    </row>
    <row r="2210" spans="1:4" x14ac:dyDescent="0.25">
      <c r="A2210" s="89" t="s">
        <v>92</v>
      </c>
      <c r="B2210" s="89" t="s">
        <v>617</v>
      </c>
      <c r="C2210" s="89">
        <v>29971.13</v>
      </c>
      <c r="D2210" s="89" t="s">
        <v>663</v>
      </c>
    </row>
    <row r="2211" spans="1:4" x14ac:dyDescent="0.25">
      <c r="A2211" s="89" t="s">
        <v>92</v>
      </c>
      <c r="B2211" s="89" t="s">
        <v>617</v>
      </c>
      <c r="C2211" s="89">
        <v>46782.19</v>
      </c>
      <c r="D2211" s="89" t="s">
        <v>663</v>
      </c>
    </row>
    <row r="2212" spans="1:4" x14ac:dyDescent="0.25">
      <c r="A2212" s="89" t="s">
        <v>92</v>
      </c>
      <c r="B2212" s="89" t="s">
        <v>617</v>
      </c>
      <c r="C2212" s="89">
        <v>78401.440000000002</v>
      </c>
      <c r="D2212" s="89" t="s">
        <v>663</v>
      </c>
    </row>
    <row r="2213" spans="1:4" x14ac:dyDescent="0.25">
      <c r="A2213" s="89" t="s">
        <v>92</v>
      </c>
      <c r="B2213" s="89" t="s">
        <v>617</v>
      </c>
      <c r="C2213" s="89">
        <v>215580</v>
      </c>
      <c r="D2213" s="89" t="s">
        <v>663</v>
      </c>
    </row>
    <row r="2214" spans="1:4" x14ac:dyDescent="0.25">
      <c r="A2214" s="89" t="s">
        <v>92</v>
      </c>
      <c r="B2214" s="89" t="s">
        <v>617</v>
      </c>
      <c r="C2214" s="89">
        <v>116744</v>
      </c>
      <c r="D2214" s="89" t="s">
        <v>663</v>
      </c>
    </row>
    <row r="2215" spans="1:4" x14ac:dyDescent="0.25">
      <c r="A2215" s="89" t="s">
        <v>92</v>
      </c>
      <c r="B2215" s="89" t="s">
        <v>617</v>
      </c>
      <c r="C2215" s="89">
        <v>792333.7</v>
      </c>
      <c r="D2215" s="89" t="s">
        <v>663</v>
      </c>
    </row>
    <row r="2216" spans="1:4" x14ac:dyDescent="0.25">
      <c r="A2216" s="89" t="s">
        <v>92</v>
      </c>
      <c r="B2216" s="89" t="s">
        <v>617</v>
      </c>
      <c r="C2216" s="89">
        <v>125305.2</v>
      </c>
      <c r="D2216" s="89" t="s">
        <v>663</v>
      </c>
    </row>
    <row r="2217" spans="1:4" x14ac:dyDescent="0.25">
      <c r="A2217" s="89" t="s">
        <v>92</v>
      </c>
      <c r="B2217" s="89" t="s">
        <v>617</v>
      </c>
      <c r="C2217" s="89">
        <v>288828</v>
      </c>
      <c r="D2217" s="89" t="s">
        <v>666</v>
      </c>
    </row>
    <row r="2218" spans="1:4" x14ac:dyDescent="0.25">
      <c r="A2218" s="89" t="s">
        <v>183</v>
      </c>
      <c r="B2218" s="89" t="s">
        <v>617</v>
      </c>
      <c r="C2218" s="89">
        <v>1076489</v>
      </c>
      <c r="D2218" s="89" t="s">
        <v>664</v>
      </c>
    </row>
    <row r="2219" spans="1:4" x14ac:dyDescent="0.25">
      <c r="A2219" s="89" t="s">
        <v>183</v>
      </c>
      <c r="B2219" s="89" t="s">
        <v>617</v>
      </c>
      <c r="C2219" s="89">
        <v>307739</v>
      </c>
      <c r="D2219" s="89" t="s">
        <v>663</v>
      </c>
    </row>
    <row r="2220" spans="1:4" x14ac:dyDescent="0.25">
      <c r="A2220" s="89" t="s">
        <v>183</v>
      </c>
      <c r="B2220" s="89" t="s">
        <v>617</v>
      </c>
      <c r="C2220" s="89">
        <v>120000</v>
      </c>
      <c r="D2220" s="89" t="s">
        <v>666</v>
      </c>
    </row>
    <row r="2221" spans="1:4" x14ac:dyDescent="0.25">
      <c r="A2221" s="89" t="s">
        <v>183</v>
      </c>
      <c r="B2221" s="89" t="s">
        <v>617</v>
      </c>
      <c r="C2221" s="89">
        <v>117954.2</v>
      </c>
      <c r="D2221" s="89" t="s">
        <v>663</v>
      </c>
    </row>
    <row r="2222" spans="1:4" x14ac:dyDescent="0.25">
      <c r="A2222" s="89" t="s">
        <v>183</v>
      </c>
      <c r="B2222" s="89" t="s">
        <v>617</v>
      </c>
      <c r="C2222" s="89">
        <v>466343</v>
      </c>
      <c r="D2222" s="89" t="s">
        <v>663</v>
      </c>
    </row>
    <row r="2223" spans="1:4" x14ac:dyDescent="0.25">
      <c r="A2223" s="89" t="s">
        <v>183</v>
      </c>
      <c r="B2223" s="89" t="s">
        <v>617</v>
      </c>
      <c r="C2223" s="89">
        <v>464656</v>
      </c>
      <c r="D2223" s="89" t="s">
        <v>666</v>
      </c>
    </row>
    <row r="2224" spans="1:4" x14ac:dyDescent="0.25">
      <c r="A2224" s="89" t="s">
        <v>183</v>
      </c>
      <c r="B2224" s="89" t="s">
        <v>617</v>
      </c>
      <c r="C2224" s="89">
        <v>192906</v>
      </c>
      <c r="D2224" s="89" t="s">
        <v>664</v>
      </c>
    </row>
    <row r="2225" spans="1:4" x14ac:dyDescent="0.25">
      <c r="A2225" s="89" t="s">
        <v>183</v>
      </c>
      <c r="B2225" s="89" t="s">
        <v>617</v>
      </c>
      <c r="C2225" s="89">
        <v>200000</v>
      </c>
      <c r="D2225" s="89" t="s">
        <v>664</v>
      </c>
    </row>
    <row r="2226" spans="1:4" x14ac:dyDescent="0.25">
      <c r="A2226" s="89" t="s">
        <v>183</v>
      </c>
      <c r="B2226" s="89" t="s">
        <v>617</v>
      </c>
      <c r="C2226" s="89">
        <v>121684</v>
      </c>
      <c r="D2226" s="89" t="s">
        <v>666</v>
      </c>
    </row>
    <row r="2227" spans="1:4" x14ac:dyDescent="0.25">
      <c r="A2227" s="89" t="s">
        <v>183</v>
      </c>
      <c r="B2227" s="89" t="s">
        <v>617</v>
      </c>
      <c r="C2227" s="89">
        <v>236815</v>
      </c>
      <c r="D2227" s="89" t="s">
        <v>664</v>
      </c>
    </row>
    <row r="2228" spans="1:4" x14ac:dyDescent="0.25">
      <c r="A2228" s="89" t="s">
        <v>183</v>
      </c>
      <c r="B2228" s="89" t="s">
        <v>617</v>
      </c>
      <c r="C2228" s="89">
        <v>1825453</v>
      </c>
      <c r="D2228" s="89" t="s">
        <v>663</v>
      </c>
    </row>
    <row r="2229" spans="1:4" x14ac:dyDescent="0.25">
      <c r="A2229" s="89" t="s">
        <v>183</v>
      </c>
      <c r="B2229" s="89" t="s">
        <v>617</v>
      </c>
      <c r="C2229" s="89">
        <v>77385</v>
      </c>
      <c r="D2229" s="89" t="s">
        <v>664</v>
      </c>
    </row>
    <row r="2230" spans="1:4" x14ac:dyDescent="0.25">
      <c r="A2230" s="89" t="s">
        <v>183</v>
      </c>
      <c r="B2230" s="89" t="s">
        <v>617</v>
      </c>
      <c r="C2230" s="89">
        <v>1404104</v>
      </c>
      <c r="D2230" s="89" t="s">
        <v>663</v>
      </c>
    </row>
    <row r="2231" spans="1:4" x14ac:dyDescent="0.25">
      <c r="A2231" s="89" t="s">
        <v>183</v>
      </c>
      <c r="B2231" s="89" t="s">
        <v>617</v>
      </c>
      <c r="C2231" s="89">
        <v>149486.06</v>
      </c>
      <c r="D2231" s="89" t="s">
        <v>663</v>
      </c>
    </row>
    <row r="2232" spans="1:4" x14ac:dyDescent="0.25">
      <c r="A2232" s="89" t="s">
        <v>183</v>
      </c>
      <c r="B2232" s="89" t="s">
        <v>617</v>
      </c>
      <c r="C2232" s="89">
        <v>172725.59</v>
      </c>
      <c r="D2232" s="89" t="s">
        <v>663</v>
      </c>
    </row>
    <row r="2233" spans="1:4" x14ac:dyDescent="0.25">
      <c r="A2233" s="89" t="s">
        <v>183</v>
      </c>
      <c r="B2233" s="89" t="s">
        <v>617</v>
      </c>
      <c r="C2233" s="89">
        <v>72234</v>
      </c>
      <c r="D2233" s="89" t="s">
        <v>666</v>
      </c>
    </row>
    <row r="2234" spans="1:4" x14ac:dyDescent="0.25">
      <c r="A2234" s="89" t="s">
        <v>183</v>
      </c>
      <c r="B2234" s="89" t="s">
        <v>617</v>
      </c>
      <c r="C2234" s="89">
        <v>912908.53</v>
      </c>
      <c r="D2234" s="89" t="s">
        <v>664</v>
      </c>
    </row>
    <row r="2235" spans="1:4" x14ac:dyDescent="0.25">
      <c r="A2235" s="89" t="s">
        <v>183</v>
      </c>
      <c r="B2235" s="89" t="s">
        <v>617</v>
      </c>
      <c r="C2235" s="89">
        <v>3805741.81</v>
      </c>
      <c r="D2235" s="89" t="s">
        <v>663</v>
      </c>
    </row>
    <row r="2236" spans="1:4" x14ac:dyDescent="0.25">
      <c r="A2236" s="89" t="s">
        <v>183</v>
      </c>
      <c r="B2236" s="89" t="s">
        <v>617</v>
      </c>
      <c r="C2236" s="89">
        <v>161479.98000000001</v>
      </c>
      <c r="D2236" s="89" t="s">
        <v>663</v>
      </c>
    </row>
    <row r="2237" spans="1:4" x14ac:dyDescent="0.25">
      <c r="A2237" s="89" t="s">
        <v>183</v>
      </c>
      <c r="B2237" s="89" t="s">
        <v>617</v>
      </c>
      <c r="C2237" s="89">
        <v>187373.78</v>
      </c>
      <c r="D2237" s="89" t="s">
        <v>663</v>
      </c>
    </row>
    <row r="2238" spans="1:4" x14ac:dyDescent="0.25">
      <c r="A2238" s="89" t="s">
        <v>183</v>
      </c>
      <c r="B2238" s="89" t="s">
        <v>617</v>
      </c>
      <c r="C2238" s="89">
        <v>241602</v>
      </c>
      <c r="D2238" s="89" t="s">
        <v>664</v>
      </c>
    </row>
    <row r="2239" spans="1:4" x14ac:dyDescent="0.25">
      <c r="A2239" s="89" t="s">
        <v>183</v>
      </c>
      <c r="B2239" s="89" t="s">
        <v>617</v>
      </c>
      <c r="C2239" s="89">
        <v>267735.25</v>
      </c>
      <c r="D2239" s="89" t="s">
        <v>664</v>
      </c>
    </row>
    <row r="2240" spans="1:4" x14ac:dyDescent="0.25">
      <c r="A2240" s="89" t="s">
        <v>183</v>
      </c>
      <c r="B2240" s="89" t="s">
        <v>617</v>
      </c>
      <c r="C2240" s="89">
        <v>411671.75</v>
      </c>
      <c r="D2240" s="89" t="s">
        <v>665</v>
      </c>
    </row>
    <row r="2241" spans="1:4" x14ac:dyDescent="0.25">
      <c r="A2241" s="89" t="s">
        <v>183</v>
      </c>
      <c r="B2241" s="89" t="s">
        <v>617</v>
      </c>
      <c r="C2241" s="89">
        <v>459162</v>
      </c>
      <c r="D2241" s="89" t="s">
        <v>664</v>
      </c>
    </row>
    <row r="2242" spans="1:4" x14ac:dyDescent="0.25">
      <c r="A2242" s="89" t="s">
        <v>183</v>
      </c>
      <c r="B2242" s="89" t="s">
        <v>617</v>
      </c>
      <c r="C2242" s="89">
        <v>411571</v>
      </c>
      <c r="D2242" s="89" t="s">
        <v>663</v>
      </c>
    </row>
    <row r="2243" spans="1:4" x14ac:dyDescent="0.25">
      <c r="A2243" s="89" t="s">
        <v>183</v>
      </c>
      <c r="B2243" s="89" t="s">
        <v>617</v>
      </c>
      <c r="C2243" s="89">
        <v>209976.94</v>
      </c>
      <c r="D2243" s="89" t="s">
        <v>664</v>
      </c>
    </row>
    <row r="2244" spans="1:4" x14ac:dyDescent="0.25">
      <c r="A2244" s="89" t="s">
        <v>183</v>
      </c>
      <c r="B2244" s="89" t="s">
        <v>617</v>
      </c>
      <c r="C2244" s="89">
        <v>536945</v>
      </c>
      <c r="D2244" s="89" t="s">
        <v>666</v>
      </c>
    </row>
    <row r="2245" spans="1:4" x14ac:dyDescent="0.25">
      <c r="A2245" s="89" t="s">
        <v>183</v>
      </c>
      <c r="B2245" s="89" t="s">
        <v>617</v>
      </c>
      <c r="C2245" s="89">
        <v>1114970</v>
      </c>
      <c r="D2245" s="89" t="s">
        <v>663</v>
      </c>
    </row>
    <row r="2246" spans="1:4" x14ac:dyDescent="0.25">
      <c r="A2246" s="89" t="s">
        <v>183</v>
      </c>
      <c r="B2246" s="89" t="s">
        <v>617</v>
      </c>
      <c r="C2246" s="89">
        <v>521948</v>
      </c>
      <c r="D2246" s="89" t="s">
        <v>664</v>
      </c>
    </row>
    <row r="2247" spans="1:4" x14ac:dyDescent="0.25">
      <c r="A2247" s="89" t="s">
        <v>183</v>
      </c>
      <c r="B2247" s="89" t="s">
        <v>617</v>
      </c>
      <c r="C2247" s="89">
        <v>219433</v>
      </c>
      <c r="D2247" s="89" t="s">
        <v>664</v>
      </c>
    </row>
    <row r="2248" spans="1:4" x14ac:dyDescent="0.25">
      <c r="A2248" s="89" t="s">
        <v>183</v>
      </c>
      <c r="B2248" s="89" t="s">
        <v>617</v>
      </c>
      <c r="C2248" s="89">
        <v>497235</v>
      </c>
      <c r="D2248" s="89" t="s">
        <v>666</v>
      </c>
    </row>
    <row r="2249" spans="1:4" x14ac:dyDescent="0.25">
      <c r="A2249" s="89" t="s">
        <v>183</v>
      </c>
      <c r="B2249" s="89" t="s">
        <v>617</v>
      </c>
      <c r="C2249" s="89">
        <v>102523.88</v>
      </c>
      <c r="D2249" s="89" t="s">
        <v>663</v>
      </c>
    </row>
    <row r="2250" spans="1:4" x14ac:dyDescent="0.25">
      <c r="A2250" s="89" t="s">
        <v>183</v>
      </c>
      <c r="B2250" s="89" t="s">
        <v>617</v>
      </c>
      <c r="C2250" s="89">
        <v>131308.07</v>
      </c>
      <c r="D2250" s="89" t="s">
        <v>666</v>
      </c>
    </row>
    <row r="2251" spans="1:4" x14ac:dyDescent="0.25">
      <c r="A2251" s="89" t="s">
        <v>183</v>
      </c>
      <c r="B2251" s="89" t="s">
        <v>617</v>
      </c>
      <c r="C2251" s="89">
        <v>195702.18</v>
      </c>
      <c r="D2251" s="89" t="s">
        <v>666</v>
      </c>
    </row>
    <row r="2252" spans="1:4" x14ac:dyDescent="0.25">
      <c r="A2252" s="89" t="s">
        <v>183</v>
      </c>
      <c r="B2252" s="89" t="s">
        <v>617</v>
      </c>
      <c r="C2252" s="89">
        <v>396483.14</v>
      </c>
      <c r="D2252" s="89" t="s">
        <v>666</v>
      </c>
    </row>
    <row r="2253" spans="1:4" x14ac:dyDescent="0.25">
      <c r="A2253" s="89" t="s">
        <v>183</v>
      </c>
      <c r="B2253" s="89" t="s">
        <v>617</v>
      </c>
      <c r="C2253" s="89">
        <v>578029</v>
      </c>
      <c r="D2253" s="89" t="s">
        <v>663</v>
      </c>
    </row>
    <row r="2254" spans="1:4" x14ac:dyDescent="0.25">
      <c r="A2254" s="89" t="s">
        <v>183</v>
      </c>
      <c r="B2254" s="89" t="s">
        <v>617</v>
      </c>
      <c r="C2254" s="89">
        <v>189899.2</v>
      </c>
      <c r="D2254" s="89" t="s">
        <v>664</v>
      </c>
    </row>
    <row r="2255" spans="1:4" x14ac:dyDescent="0.25">
      <c r="A2255" s="89" t="s">
        <v>183</v>
      </c>
      <c r="B2255" s="89" t="s">
        <v>617</v>
      </c>
      <c r="C2255" s="89">
        <v>1047643</v>
      </c>
      <c r="D2255" s="89" t="s">
        <v>664</v>
      </c>
    </row>
    <row r="2256" spans="1:4" x14ac:dyDescent="0.25">
      <c r="A2256" s="89" t="s">
        <v>183</v>
      </c>
      <c r="B2256" s="89" t="s">
        <v>617</v>
      </c>
      <c r="C2256" s="89">
        <v>293308.99</v>
      </c>
      <c r="D2256" s="89" t="s">
        <v>663</v>
      </c>
    </row>
    <row r="2257" spans="1:4" x14ac:dyDescent="0.25">
      <c r="A2257" s="89" t="s">
        <v>183</v>
      </c>
      <c r="B2257" s="89" t="s">
        <v>617</v>
      </c>
      <c r="C2257" s="89">
        <v>3204352.58</v>
      </c>
      <c r="D2257" s="89" t="s">
        <v>666</v>
      </c>
    </row>
    <row r="2258" spans="1:4" x14ac:dyDescent="0.25">
      <c r="A2258" s="89" t="s">
        <v>183</v>
      </c>
      <c r="B2258" s="89" t="s">
        <v>617</v>
      </c>
      <c r="C2258" s="89">
        <v>6428797.6299999999</v>
      </c>
      <c r="D2258" s="89" t="s">
        <v>664</v>
      </c>
    </row>
    <row r="2259" spans="1:4" x14ac:dyDescent="0.25">
      <c r="A2259" s="89" t="s">
        <v>183</v>
      </c>
      <c r="B2259" s="89" t="s">
        <v>617</v>
      </c>
      <c r="C2259" s="89">
        <v>513937.81</v>
      </c>
      <c r="D2259" s="89" t="s">
        <v>663</v>
      </c>
    </row>
    <row r="2260" spans="1:4" x14ac:dyDescent="0.25">
      <c r="A2260" s="89" t="s">
        <v>183</v>
      </c>
      <c r="B2260" s="89" t="s">
        <v>617</v>
      </c>
      <c r="C2260" s="89">
        <v>19725.52</v>
      </c>
      <c r="D2260" s="89" t="s">
        <v>664</v>
      </c>
    </row>
    <row r="2261" spans="1:4" x14ac:dyDescent="0.25">
      <c r="A2261" s="89" t="s">
        <v>183</v>
      </c>
      <c r="B2261" s="89" t="s">
        <v>617</v>
      </c>
      <c r="C2261" s="89">
        <v>1127643.21</v>
      </c>
      <c r="D2261" s="89" t="s">
        <v>664</v>
      </c>
    </row>
    <row r="2262" spans="1:4" x14ac:dyDescent="0.25">
      <c r="A2262" s="89" t="s">
        <v>183</v>
      </c>
      <c r="B2262" s="89" t="s">
        <v>617</v>
      </c>
      <c r="C2262" s="89">
        <v>742669.96</v>
      </c>
      <c r="D2262" s="89" t="s">
        <v>664</v>
      </c>
    </row>
    <row r="2263" spans="1:4" x14ac:dyDescent="0.25">
      <c r="A2263" s="89" t="s">
        <v>183</v>
      </c>
      <c r="B2263" s="89" t="s">
        <v>617</v>
      </c>
      <c r="C2263" s="89">
        <v>817212.19</v>
      </c>
      <c r="D2263" s="89" t="s">
        <v>663</v>
      </c>
    </row>
    <row r="2264" spans="1:4" x14ac:dyDescent="0.25">
      <c r="A2264" s="89" t="s">
        <v>183</v>
      </c>
      <c r="B2264" s="89" t="s">
        <v>617</v>
      </c>
      <c r="C2264" s="89">
        <v>88256</v>
      </c>
      <c r="D2264" s="89" t="s">
        <v>663</v>
      </c>
    </row>
    <row r="2265" spans="1:4" x14ac:dyDescent="0.25">
      <c r="A2265" s="89" t="s">
        <v>46</v>
      </c>
      <c r="B2265" s="89" t="s">
        <v>617</v>
      </c>
      <c r="C2265" s="89">
        <v>346454</v>
      </c>
      <c r="D2265" s="89" t="s">
        <v>664</v>
      </c>
    </row>
    <row r="2266" spans="1:4" x14ac:dyDescent="0.25">
      <c r="A2266" s="89" t="s">
        <v>46</v>
      </c>
      <c r="B2266" s="89" t="s">
        <v>617</v>
      </c>
      <c r="C2266" s="89">
        <v>311156</v>
      </c>
      <c r="D2266" s="89" t="s">
        <v>663</v>
      </c>
    </row>
    <row r="2267" spans="1:4" x14ac:dyDescent="0.25">
      <c r="A2267" s="89" t="s">
        <v>46</v>
      </c>
      <c r="B2267" s="89" t="s">
        <v>617</v>
      </c>
      <c r="C2267" s="89">
        <v>175000</v>
      </c>
      <c r="D2267" s="89" t="s">
        <v>663</v>
      </c>
    </row>
    <row r="2268" spans="1:4" x14ac:dyDescent="0.25">
      <c r="A2268" s="89" t="s">
        <v>46</v>
      </c>
      <c r="B2268" s="89" t="s">
        <v>617</v>
      </c>
      <c r="C2268" s="89">
        <v>114394</v>
      </c>
      <c r="D2268" s="89" t="s">
        <v>664</v>
      </c>
    </row>
    <row r="2269" spans="1:4" x14ac:dyDescent="0.25">
      <c r="A2269" s="89" t="s">
        <v>46</v>
      </c>
      <c r="B2269" s="89" t="s">
        <v>617</v>
      </c>
      <c r="C2269" s="89">
        <v>812371</v>
      </c>
      <c r="D2269" s="89" t="s">
        <v>664</v>
      </c>
    </row>
    <row r="2270" spans="1:4" x14ac:dyDescent="0.25">
      <c r="A2270" s="89" t="s">
        <v>46</v>
      </c>
      <c r="B2270" s="89" t="s">
        <v>617</v>
      </c>
      <c r="C2270" s="89">
        <v>1967416</v>
      </c>
      <c r="D2270" s="89" t="s">
        <v>663</v>
      </c>
    </row>
    <row r="2271" spans="1:4" x14ac:dyDescent="0.25">
      <c r="A2271" s="89" t="s">
        <v>46</v>
      </c>
      <c r="B2271" s="89" t="s">
        <v>617</v>
      </c>
      <c r="C2271" s="89">
        <v>2015815</v>
      </c>
      <c r="D2271" s="89" t="s">
        <v>663</v>
      </c>
    </row>
    <row r="2272" spans="1:4" x14ac:dyDescent="0.25">
      <c r="A2272" s="89" t="s">
        <v>46</v>
      </c>
      <c r="B2272" s="89" t="s">
        <v>617</v>
      </c>
      <c r="C2272" s="89">
        <v>99661</v>
      </c>
      <c r="D2272" s="89" t="s">
        <v>666</v>
      </c>
    </row>
    <row r="2273" spans="1:4" x14ac:dyDescent="0.25">
      <c r="A2273" s="89" t="s">
        <v>46</v>
      </c>
      <c r="B2273" s="89" t="s">
        <v>617</v>
      </c>
      <c r="C2273" s="89">
        <v>39096</v>
      </c>
      <c r="D2273" s="89" t="s">
        <v>664</v>
      </c>
    </row>
    <row r="2274" spans="1:4" x14ac:dyDescent="0.25">
      <c r="A2274" s="89" t="s">
        <v>46</v>
      </c>
      <c r="B2274" s="89" t="s">
        <v>617</v>
      </c>
      <c r="C2274" s="89">
        <v>100309</v>
      </c>
      <c r="D2274" s="89" t="s">
        <v>664</v>
      </c>
    </row>
    <row r="2275" spans="1:4" x14ac:dyDescent="0.25">
      <c r="A2275" s="89" t="s">
        <v>46</v>
      </c>
      <c r="B2275" s="89" t="s">
        <v>617</v>
      </c>
      <c r="C2275" s="89">
        <v>593120</v>
      </c>
      <c r="D2275" s="89" t="s">
        <v>663</v>
      </c>
    </row>
    <row r="2276" spans="1:4" x14ac:dyDescent="0.25">
      <c r="A2276" s="89" t="s">
        <v>46</v>
      </c>
      <c r="B2276" s="89" t="s">
        <v>617</v>
      </c>
      <c r="C2276" s="89">
        <v>53984</v>
      </c>
      <c r="D2276" s="89" t="s">
        <v>666</v>
      </c>
    </row>
    <row r="2277" spans="1:4" x14ac:dyDescent="0.25">
      <c r="A2277" s="89" t="s">
        <v>46</v>
      </c>
      <c r="B2277" s="89" t="s">
        <v>617</v>
      </c>
      <c r="C2277" s="89">
        <v>843861.46</v>
      </c>
      <c r="D2277" s="89" t="s">
        <v>664</v>
      </c>
    </row>
    <row r="2278" spans="1:4" x14ac:dyDescent="0.25">
      <c r="A2278" s="89" t="s">
        <v>46</v>
      </c>
      <c r="B2278" s="89" t="s">
        <v>617</v>
      </c>
      <c r="C2278" s="89">
        <v>231627</v>
      </c>
      <c r="D2278" s="89" t="s">
        <v>664</v>
      </c>
    </row>
    <row r="2279" spans="1:4" x14ac:dyDescent="0.25">
      <c r="A2279" s="89" t="s">
        <v>46</v>
      </c>
      <c r="B2279" s="89" t="s">
        <v>617</v>
      </c>
      <c r="C2279" s="89">
        <v>164723</v>
      </c>
      <c r="D2279" s="89" t="s">
        <v>664</v>
      </c>
    </row>
    <row r="2280" spans="1:4" x14ac:dyDescent="0.25">
      <c r="A2280" s="89" t="s">
        <v>46</v>
      </c>
      <c r="B2280" s="89" t="s">
        <v>617</v>
      </c>
      <c r="C2280" s="89">
        <v>1593882</v>
      </c>
      <c r="D2280" s="89" t="s">
        <v>663</v>
      </c>
    </row>
    <row r="2281" spans="1:4" x14ac:dyDescent="0.25">
      <c r="A2281" s="89" t="s">
        <v>46</v>
      </c>
      <c r="B2281" s="89" t="s">
        <v>617</v>
      </c>
      <c r="C2281" s="89">
        <v>1119465</v>
      </c>
      <c r="D2281" s="89" t="s">
        <v>663</v>
      </c>
    </row>
    <row r="2282" spans="1:4" x14ac:dyDescent="0.25">
      <c r="A2282" s="89" t="s">
        <v>46</v>
      </c>
      <c r="B2282" s="89" t="s">
        <v>617</v>
      </c>
      <c r="C2282" s="89">
        <v>5174144</v>
      </c>
      <c r="D2282" s="89" t="s">
        <v>663</v>
      </c>
    </row>
    <row r="2283" spans="1:4" x14ac:dyDescent="0.25">
      <c r="A2283" s="89" t="s">
        <v>46</v>
      </c>
      <c r="B2283" s="89" t="s">
        <v>617</v>
      </c>
      <c r="C2283" s="89">
        <v>345844</v>
      </c>
      <c r="D2283" s="89" t="s">
        <v>664</v>
      </c>
    </row>
    <row r="2284" spans="1:4" x14ac:dyDescent="0.25">
      <c r="A2284" s="89" t="s">
        <v>46</v>
      </c>
      <c r="B2284" s="89" t="s">
        <v>617</v>
      </c>
      <c r="C2284" s="89">
        <v>205405</v>
      </c>
      <c r="D2284" s="89" t="s">
        <v>666</v>
      </c>
    </row>
    <row r="2285" spans="1:4" x14ac:dyDescent="0.25">
      <c r="A2285" s="89" t="s">
        <v>46</v>
      </c>
      <c r="B2285" s="89" t="s">
        <v>617</v>
      </c>
      <c r="C2285" s="89">
        <v>251955</v>
      </c>
      <c r="D2285" s="89" t="s">
        <v>666</v>
      </c>
    </row>
    <row r="2286" spans="1:4" x14ac:dyDescent="0.25">
      <c r="A2286" s="89" t="s">
        <v>46</v>
      </c>
      <c r="B2286" s="89" t="s">
        <v>617</v>
      </c>
      <c r="C2286" s="89">
        <v>169833</v>
      </c>
      <c r="D2286" s="89" t="s">
        <v>663</v>
      </c>
    </row>
    <row r="2287" spans="1:4" x14ac:dyDescent="0.25">
      <c r="A2287" s="89" t="s">
        <v>46</v>
      </c>
      <c r="B2287" s="89" t="s">
        <v>617</v>
      </c>
      <c r="C2287" s="89">
        <v>77109</v>
      </c>
      <c r="D2287" s="89" t="s">
        <v>664</v>
      </c>
    </row>
    <row r="2288" spans="1:4" x14ac:dyDescent="0.25">
      <c r="A2288" s="89" t="s">
        <v>46</v>
      </c>
      <c r="B2288" s="89" t="s">
        <v>617</v>
      </c>
      <c r="C2288" s="89">
        <v>64654</v>
      </c>
      <c r="D2288" s="89" t="s">
        <v>664</v>
      </c>
    </row>
    <row r="2289" spans="1:4" x14ac:dyDescent="0.25">
      <c r="A2289" s="89" t="s">
        <v>46</v>
      </c>
      <c r="B2289" s="89" t="s">
        <v>617</v>
      </c>
      <c r="C2289" s="89">
        <v>287646</v>
      </c>
      <c r="D2289" s="89" t="s">
        <v>664</v>
      </c>
    </row>
    <row r="2290" spans="1:4" x14ac:dyDescent="0.25">
      <c r="A2290" s="89" t="s">
        <v>46</v>
      </c>
      <c r="B2290" s="89" t="s">
        <v>617</v>
      </c>
      <c r="C2290" s="89">
        <v>114880</v>
      </c>
      <c r="D2290" s="89" t="s">
        <v>666</v>
      </c>
    </row>
    <row r="2291" spans="1:4" x14ac:dyDescent="0.25">
      <c r="A2291" s="89" t="s">
        <v>46</v>
      </c>
      <c r="B2291" s="89" t="s">
        <v>617</v>
      </c>
      <c r="C2291" s="89">
        <v>979416</v>
      </c>
      <c r="D2291" s="89" t="s">
        <v>665</v>
      </c>
    </row>
    <row r="2292" spans="1:4" x14ac:dyDescent="0.25">
      <c r="A2292" s="89" t="s">
        <v>46</v>
      </c>
      <c r="B2292" s="89" t="s">
        <v>617</v>
      </c>
      <c r="C2292" s="89">
        <v>370073</v>
      </c>
      <c r="D2292" s="89" t="s">
        <v>663</v>
      </c>
    </row>
    <row r="2293" spans="1:4" x14ac:dyDescent="0.25">
      <c r="A2293" s="89" t="s">
        <v>46</v>
      </c>
      <c r="B2293" s="89" t="s">
        <v>617</v>
      </c>
      <c r="C2293" s="89">
        <v>6134269</v>
      </c>
      <c r="D2293" s="89" t="s">
        <v>663</v>
      </c>
    </row>
    <row r="2294" spans="1:4" x14ac:dyDescent="0.25">
      <c r="A2294" s="89" t="s">
        <v>46</v>
      </c>
      <c r="B2294" s="89" t="s">
        <v>617</v>
      </c>
      <c r="C2294" s="89">
        <v>77866</v>
      </c>
      <c r="D2294" s="89" t="s">
        <v>666</v>
      </c>
    </row>
    <row r="2295" spans="1:4" x14ac:dyDescent="0.25">
      <c r="A2295" s="89" t="s">
        <v>46</v>
      </c>
      <c r="B2295" s="89" t="s">
        <v>617</v>
      </c>
      <c r="C2295" s="89">
        <v>217277</v>
      </c>
      <c r="D2295" s="89" t="s">
        <v>666</v>
      </c>
    </row>
    <row r="2296" spans="1:4" x14ac:dyDescent="0.25">
      <c r="A2296" s="89" t="s">
        <v>46</v>
      </c>
      <c r="B2296" s="89" t="s">
        <v>617</v>
      </c>
      <c r="C2296" s="89">
        <v>1311730</v>
      </c>
      <c r="D2296" s="89" t="s">
        <v>665</v>
      </c>
    </row>
    <row r="2297" spans="1:4" x14ac:dyDescent="0.25">
      <c r="A2297" s="89" t="s">
        <v>46</v>
      </c>
      <c r="B2297" s="89" t="s">
        <v>617</v>
      </c>
      <c r="C2297" s="89">
        <v>120700.81</v>
      </c>
      <c r="D2297" s="89" t="s">
        <v>664</v>
      </c>
    </row>
    <row r="2298" spans="1:4" x14ac:dyDescent="0.25">
      <c r="A2298" s="89" t="s">
        <v>46</v>
      </c>
      <c r="B2298" s="89" t="s">
        <v>617</v>
      </c>
      <c r="C2298" s="89">
        <v>1074659</v>
      </c>
      <c r="D2298" s="89" t="s">
        <v>666</v>
      </c>
    </row>
    <row r="2299" spans="1:4" x14ac:dyDescent="0.25">
      <c r="A2299" s="89" t="s">
        <v>46</v>
      </c>
      <c r="B2299" s="89" t="s">
        <v>617</v>
      </c>
      <c r="C2299" s="89">
        <v>86713</v>
      </c>
      <c r="D2299" s="89" t="s">
        <v>666</v>
      </c>
    </row>
    <row r="2300" spans="1:4" x14ac:dyDescent="0.25">
      <c r="A2300" s="89" t="s">
        <v>46</v>
      </c>
      <c r="B2300" s="89" t="s">
        <v>617</v>
      </c>
      <c r="C2300" s="89">
        <v>50000</v>
      </c>
      <c r="D2300" s="89" t="s">
        <v>666</v>
      </c>
    </row>
    <row r="2301" spans="1:4" x14ac:dyDescent="0.25">
      <c r="A2301" s="89" t="s">
        <v>46</v>
      </c>
      <c r="B2301" s="89" t="s">
        <v>617</v>
      </c>
      <c r="C2301" s="89">
        <v>3588380</v>
      </c>
      <c r="D2301" s="89" t="s">
        <v>663</v>
      </c>
    </row>
    <row r="2302" spans="1:4" x14ac:dyDescent="0.25">
      <c r="A2302" s="89" t="s">
        <v>46</v>
      </c>
      <c r="B2302" s="89" t="s">
        <v>617</v>
      </c>
      <c r="C2302" s="89">
        <v>132428</v>
      </c>
      <c r="D2302" s="89" t="s">
        <v>664</v>
      </c>
    </row>
    <row r="2303" spans="1:4" x14ac:dyDescent="0.25">
      <c r="A2303" s="89" t="s">
        <v>46</v>
      </c>
      <c r="B2303" s="89" t="s">
        <v>617</v>
      </c>
      <c r="C2303" s="89">
        <v>2553738</v>
      </c>
      <c r="D2303" s="89" t="s">
        <v>663</v>
      </c>
    </row>
    <row r="2304" spans="1:4" x14ac:dyDescent="0.25">
      <c r="A2304" s="89" t="s">
        <v>90</v>
      </c>
      <c r="B2304" s="89" t="s">
        <v>617</v>
      </c>
      <c r="C2304" s="89">
        <v>845076</v>
      </c>
      <c r="D2304" s="89" t="s">
        <v>663</v>
      </c>
    </row>
    <row r="2305" spans="1:4" x14ac:dyDescent="0.25">
      <c r="A2305" s="89" t="s">
        <v>90</v>
      </c>
      <c r="B2305" s="89" t="s">
        <v>617</v>
      </c>
      <c r="C2305" s="89">
        <v>1489339</v>
      </c>
      <c r="D2305" s="89" t="s">
        <v>664</v>
      </c>
    </row>
    <row r="2306" spans="1:4" x14ac:dyDescent="0.25">
      <c r="A2306" s="89" t="s">
        <v>90</v>
      </c>
      <c r="B2306" s="89" t="s">
        <v>617</v>
      </c>
      <c r="C2306" s="89">
        <v>4783682</v>
      </c>
      <c r="D2306" s="89" t="s">
        <v>663</v>
      </c>
    </row>
    <row r="2307" spans="1:4" x14ac:dyDescent="0.25">
      <c r="A2307" s="89" t="s">
        <v>90</v>
      </c>
      <c r="B2307" s="89" t="s">
        <v>617</v>
      </c>
      <c r="C2307" s="89">
        <v>1399000</v>
      </c>
      <c r="D2307" s="89" t="s">
        <v>664</v>
      </c>
    </row>
    <row r="2308" spans="1:4" x14ac:dyDescent="0.25">
      <c r="A2308" s="89" t="s">
        <v>90</v>
      </c>
      <c r="B2308" s="89" t="s">
        <v>617</v>
      </c>
      <c r="C2308" s="89">
        <v>3342381</v>
      </c>
      <c r="D2308" s="89" t="s">
        <v>666</v>
      </c>
    </row>
    <row r="2309" spans="1:4" x14ac:dyDescent="0.25">
      <c r="A2309" s="89" t="s">
        <v>90</v>
      </c>
      <c r="B2309" s="89" t="s">
        <v>617</v>
      </c>
      <c r="C2309" s="89">
        <v>2643772</v>
      </c>
      <c r="D2309" s="89" t="s">
        <v>664</v>
      </c>
    </row>
    <row r="2310" spans="1:4" x14ac:dyDescent="0.25">
      <c r="A2310" s="89" t="s">
        <v>90</v>
      </c>
      <c r="B2310" s="89" t="s">
        <v>617</v>
      </c>
      <c r="C2310" s="89">
        <v>452630</v>
      </c>
      <c r="D2310" s="89" t="s">
        <v>663</v>
      </c>
    </row>
    <row r="2311" spans="1:4" x14ac:dyDescent="0.25">
      <c r="A2311" s="89" t="s">
        <v>90</v>
      </c>
      <c r="B2311" s="89" t="s">
        <v>617</v>
      </c>
      <c r="C2311" s="89">
        <v>719073</v>
      </c>
      <c r="D2311" s="89" t="s">
        <v>663</v>
      </c>
    </row>
    <row r="2312" spans="1:4" x14ac:dyDescent="0.25">
      <c r="A2312" s="89" t="s">
        <v>90</v>
      </c>
      <c r="B2312" s="89" t="s">
        <v>617</v>
      </c>
      <c r="C2312" s="89">
        <v>2072904</v>
      </c>
      <c r="D2312" s="89" t="s">
        <v>663</v>
      </c>
    </row>
    <row r="2313" spans="1:4" x14ac:dyDescent="0.25">
      <c r="A2313" s="89" t="s">
        <v>90</v>
      </c>
      <c r="B2313" s="89" t="s">
        <v>617</v>
      </c>
      <c r="C2313" s="89">
        <v>474848</v>
      </c>
      <c r="D2313" s="89" t="s">
        <v>663</v>
      </c>
    </row>
    <row r="2314" spans="1:4" x14ac:dyDescent="0.25">
      <c r="A2314" s="89" t="s">
        <v>90</v>
      </c>
      <c r="B2314" s="89" t="s">
        <v>617</v>
      </c>
      <c r="C2314" s="89">
        <v>4858044</v>
      </c>
      <c r="D2314" s="89" t="s">
        <v>663</v>
      </c>
    </row>
    <row r="2315" spans="1:4" x14ac:dyDescent="0.25">
      <c r="A2315" s="89" t="s">
        <v>90</v>
      </c>
      <c r="B2315" s="89" t="s">
        <v>617</v>
      </c>
      <c r="C2315" s="89">
        <v>3585830</v>
      </c>
      <c r="D2315" s="89" t="s">
        <v>663</v>
      </c>
    </row>
    <row r="2316" spans="1:4" x14ac:dyDescent="0.25">
      <c r="A2316" s="89" t="s">
        <v>90</v>
      </c>
      <c r="B2316" s="89" t="s">
        <v>617</v>
      </c>
      <c r="C2316" s="89">
        <v>1000000</v>
      </c>
      <c r="D2316" s="89" t="s">
        <v>666</v>
      </c>
    </row>
    <row r="2317" spans="1:4" x14ac:dyDescent="0.25">
      <c r="A2317" s="89" t="s">
        <v>90</v>
      </c>
      <c r="B2317" s="89" t="s">
        <v>617</v>
      </c>
      <c r="C2317" s="89">
        <v>2468180</v>
      </c>
      <c r="D2317" s="89" t="s">
        <v>663</v>
      </c>
    </row>
    <row r="2318" spans="1:4" x14ac:dyDescent="0.25">
      <c r="A2318" s="89" t="s">
        <v>90</v>
      </c>
      <c r="B2318" s="89" t="s">
        <v>617</v>
      </c>
      <c r="C2318" s="89">
        <v>997019</v>
      </c>
      <c r="D2318" s="89" t="s">
        <v>663</v>
      </c>
    </row>
    <row r="2319" spans="1:4" x14ac:dyDescent="0.25">
      <c r="A2319" s="89" t="s">
        <v>90</v>
      </c>
      <c r="B2319" s="89" t="s">
        <v>617</v>
      </c>
      <c r="C2319" s="89">
        <v>267081</v>
      </c>
      <c r="D2319" s="89" t="s">
        <v>664</v>
      </c>
    </row>
    <row r="2320" spans="1:4" x14ac:dyDescent="0.25">
      <c r="A2320" s="89" t="s">
        <v>90</v>
      </c>
      <c r="B2320" s="89" t="s">
        <v>617</v>
      </c>
      <c r="C2320" s="89">
        <v>1809313</v>
      </c>
      <c r="D2320" s="89" t="s">
        <v>663</v>
      </c>
    </row>
    <row r="2321" spans="1:4" x14ac:dyDescent="0.25">
      <c r="A2321" s="89" t="s">
        <v>90</v>
      </c>
      <c r="B2321" s="89" t="s">
        <v>617</v>
      </c>
      <c r="C2321" s="89">
        <v>230191</v>
      </c>
      <c r="D2321" s="89" t="s">
        <v>663</v>
      </c>
    </row>
    <row r="2322" spans="1:4" x14ac:dyDescent="0.25">
      <c r="A2322" s="89" t="s">
        <v>90</v>
      </c>
      <c r="B2322" s="89" t="s">
        <v>617</v>
      </c>
      <c r="C2322" s="89">
        <v>4642952</v>
      </c>
      <c r="D2322" s="89" t="s">
        <v>663</v>
      </c>
    </row>
    <row r="2323" spans="1:4" x14ac:dyDescent="0.25">
      <c r="A2323" s="89" t="s">
        <v>90</v>
      </c>
      <c r="B2323" s="89" t="s">
        <v>617</v>
      </c>
      <c r="C2323" s="89">
        <v>792486</v>
      </c>
      <c r="D2323" s="89" t="s">
        <v>666</v>
      </c>
    </row>
    <row r="2324" spans="1:4" x14ac:dyDescent="0.25">
      <c r="A2324" s="89" t="s">
        <v>90</v>
      </c>
      <c r="B2324" s="89" t="s">
        <v>617</v>
      </c>
      <c r="C2324" s="89">
        <v>630505</v>
      </c>
      <c r="D2324" s="89" t="s">
        <v>666</v>
      </c>
    </row>
    <row r="2325" spans="1:4" x14ac:dyDescent="0.25">
      <c r="A2325" s="89" t="s">
        <v>90</v>
      </c>
      <c r="B2325" s="89" t="s">
        <v>617</v>
      </c>
      <c r="C2325" s="89">
        <v>1485614</v>
      </c>
      <c r="D2325" s="89" t="s">
        <v>663</v>
      </c>
    </row>
    <row r="2326" spans="1:4" x14ac:dyDescent="0.25">
      <c r="A2326" s="89" t="s">
        <v>90</v>
      </c>
      <c r="B2326" s="89" t="s">
        <v>617</v>
      </c>
      <c r="C2326" s="89">
        <v>2362283.3199999998</v>
      </c>
      <c r="D2326" s="89" t="s">
        <v>663</v>
      </c>
    </row>
    <row r="2327" spans="1:4" x14ac:dyDescent="0.25">
      <c r="A2327" s="89" t="s">
        <v>90</v>
      </c>
      <c r="B2327" s="89" t="s">
        <v>617</v>
      </c>
      <c r="C2327" s="89">
        <v>108626</v>
      </c>
      <c r="D2327" s="89" t="s">
        <v>663</v>
      </c>
    </row>
    <row r="2328" spans="1:4" x14ac:dyDescent="0.25">
      <c r="A2328" s="89" t="s">
        <v>90</v>
      </c>
      <c r="B2328" s="89" t="s">
        <v>617</v>
      </c>
      <c r="C2328" s="89">
        <v>1000764</v>
      </c>
      <c r="D2328" s="89" t="s">
        <v>664</v>
      </c>
    </row>
    <row r="2329" spans="1:4" x14ac:dyDescent="0.25">
      <c r="A2329" s="89" t="s">
        <v>90</v>
      </c>
      <c r="B2329" s="89" t="s">
        <v>617</v>
      </c>
      <c r="C2329" s="89">
        <v>294346</v>
      </c>
      <c r="D2329" s="89" t="s">
        <v>666</v>
      </c>
    </row>
    <row r="2330" spans="1:4" x14ac:dyDescent="0.25">
      <c r="A2330" s="89" t="s">
        <v>90</v>
      </c>
      <c r="B2330" s="89" t="s">
        <v>617</v>
      </c>
      <c r="C2330" s="89">
        <v>802089</v>
      </c>
      <c r="D2330" s="89" t="s">
        <v>663</v>
      </c>
    </row>
    <row r="2331" spans="1:4" x14ac:dyDescent="0.25">
      <c r="A2331" s="89" t="s">
        <v>90</v>
      </c>
      <c r="B2331" s="89" t="s">
        <v>617</v>
      </c>
      <c r="C2331" s="89">
        <v>596921</v>
      </c>
      <c r="D2331" s="89" t="s">
        <v>663</v>
      </c>
    </row>
    <row r="2332" spans="1:4" x14ac:dyDescent="0.25">
      <c r="A2332" s="89" t="s">
        <v>90</v>
      </c>
      <c r="B2332" s="89" t="s">
        <v>617</v>
      </c>
      <c r="C2332" s="89">
        <v>760583.23</v>
      </c>
      <c r="D2332" s="89" t="s">
        <v>663</v>
      </c>
    </row>
    <row r="2333" spans="1:4" x14ac:dyDescent="0.25">
      <c r="A2333" s="89" t="s">
        <v>90</v>
      </c>
      <c r="B2333" s="89" t="s">
        <v>617</v>
      </c>
      <c r="C2333" s="89">
        <v>520947.95</v>
      </c>
      <c r="D2333" s="89" t="s">
        <v>663</v>
      </c>
    </row>
    <row r="2334" spans="1:4" x14ac:dyDescent="0.25">
      <c r="A2334" s="89" t="s">
        <v>90</v>
      </c>
      <c r="B2334" s="89" t="s">
        <v>617</v>
      </c>
      <c r="C2334" s="89">
        <v>7999430</v>
      </c>
      <c r="D2334" s="89" t="s">
        <v>663</v>
      </c>
    </row>
    <row r="2335" spans="1:4" x14ac:dyDescent="0.25">
      <c r="A2335" s="89" t="s">
        <v>90</v>
      </c>
      <c r="B2335" s="89" t="s">
        <v>617</v>
      </c>
      <c r="C2335" s="89">
        <v>2020851.79</v>
      </c>
      <c r="D2335" s="89" t="s">
        <v>664</v>
      </c>
    </row>
    <row r="2336" spans="1:4" x14ac:dyDescent="0.25">
      <c r="A2336" s="89" t="s">
        <v>90</v>
      </c>
      <c r="B2336" s="89" t="s">
        <v>617</v>
      </c>
      <c r="C2336" s="89">
        <v>4622700.3499999996</v>
      </c>
      <c r="D2336" s="89" t="s">
        <v>663</v>
      </c>
    </row>
    <row r="2337" spans="1:4" x14ac:dyDescent="0.25">
      <c r="A2337" s="89" t="s">
        <v>90</v>
      </c>
      <c r="B2337" s="89" t="s">
        <v>617</v>
      </c>
      <c r="C2337" s="89">
        <v>1592870.17</v>
      </c>
      <c r="D2337" s="89" t="s">
        <v>666</v>
      </c>
    </row>
    <row r="2338" spans="1:4" x14ac:dyDescent="0.25">
      <c r="A2338" s="89" t="s">
        <v>90</v>
      </c>
      <c r="B2338" s="89" t="s">
        <v>617</v>
      </c>
      <c r="C2338" s="89">
        <v>1147219</v>
      </c>
      <c r="D2338" s="89" t="s">
        <v>666</v>
      </c>
    </row>
    <row r="2339" spans="1:4" x14ac:dyDescent="0.25">
      <c r="A2339" s="89" t="s">
        <v>90</v>
      </c>
      <c r="B2339" s="89" t="s">
        <v>617</v>
      </c>
      <c r="C2339" s="89">
        <v>1175548</v>
      </c>
      <c r="D2339" s="89" t="s">
        <v>663</v>
      </c>
    </row>
    <row r="2340" spans="1:4" x14ac:dyDescent="0.25">
      <c r="A2340" s="89" t="s">
        <v>90</v>
      </c>
      <c r="B2340" s="89" t="s">
        <v>617</v>
      </c>
      <c r="C2340" s="89">
        <v>1669403</v>
      </c>
      <c r="D2340" s="89" t="s">
        <v>664</v>
      </c>
    </row>
    <row r="2341" spans="1:4" x14ac:dyDescent="0.25">
      <c r="A2341" s="89" t="s">
        <v>90</v>
      </c>
      <c r="B2341" s="89" t="s">
        <v>617</v>
      </c>
      <c r="C2341" s="89">
        <v>329423</v>
      </c>
      <c r="D2341" s="89" t="s">
        <v>666</v>
      </c>
    </row>
    <row r="2342" spans="1:4" x14ac:dyDescent="0.25">
      <c r="A2342" s="89" t="s">
        <v>90</v>
      </c>
      <c r="B2342" s="89" t="s">
        <v>617</v>
      </c>
      <c r="C2342" s="89">
        <v>455634</v>
      </c>
      <c r="D2342" s="89" t="s">
        <v>663</v>
      </c>
    </row>
    <row r="2343" spans="1:4" x14ac:dyDescent="0.25">
      <c r="A2343" s="89" t="s">
        <v>90</v>
      </c>
      <c r="B2343" s="89" t="s">
        <v>617</v>
      </c>
      <c r="C2343" s="89">
        <v>12148556</v>
      </c>
      <c r="D2343" s="89" t="s">
        <v>663</v>
      </c>
    </row>
    <row r="2344" spans="1:4" x14ac:dyDescent="0.25">
      <c r="A2344" s="89" t="s">
        <v>90</v>
      </c>
      <c r="B2344" s="89" t="s">
        <v>617</v>
      </c>
      <c r="C2344" s="89">
        <v>693304</v>
      </c>
      <c r="D2344" s="89" t="s">
        <v>663</v>
      </c>
    </row>
    <row r="2345" spans="1:4" x14ac:dyDescent="0.25">
      <c r="A2345" s="89" t="s">
        <v>90</v>
      </c>
      <c r="B2345" s="89" t="s">
        <v>617</v>
      </c>
      <c r="C2345" s="89">
        <v>186825</v>
      </c>
      <c r="D2345" s="89" t="s">
        <v>666</v>
      </c>
    </row>
    <row r="2346" spans="1:4" x14ac:dyDescent="0.25">
      <c r="A2346" s="89" t="s">
        <v>90</v>
      </c>
      <c r="B2346" s="89" t="s">
        <v>617</v>
      </c>
      <c r="C2346" s="89">
        <v>13063330</v>
      </c>
      <c r="D2346" s="89" t="s">
        <v>663</v>
      </c>
    </row>
    <row r="2347" spans="1:4" x14ac:dyDescent="0.25">
      <c r="A2347" s="89" t="s">
        <v>90</v>
      </c>
      <c r="B2347" s="89" t="s">
        <v>617</v>
      </c>
      <c r="C2347" s="89">
        <v>601475.67000000004</v>
      </c>
      <c r="D2347" s="89" t="s">
        <v>663</v>
      </c>
    </row>
    <row r="2348" spans="1:4" x14ac:dyDescent="0.25">
      <c r="A2348" s="89" t="s">
        <v>90</v>
      </c>
      <c r="B2348" s="89" t="s">
        <v>617</v>
      </c>
      <c r="C2348" s="89">
        <v>965056</v>
      </c>
      <c r="D2348" s="89" t="s">
        <v>663</v>
      </c>
    </row>
    <row r="2349" spans="1:4" x14ac:dyDescent="0.25">
      <c r="A2349" s="89" t="s">
        <v>90</v>
      </c>
      <c r="B2349" s="89" t="s">
        <v>617</v>
      </c>
      <c r="C2349" s="89">
        <v>525854</v>
      </c>
      <c r="D2349" s="89" t="s">
        <v>663</v>
      </c>
    </row>
    <row r="2350" spans="1:4" x14ac:dyDescent="0.25">
      <c r="A2350" s="89" t="s">
        <v>90</v>
      </c>
      <c r="B2350" s="89" t="s">
        <v>617</v>
      </c>
      <c r="C2350" s="89">
        <v>6200000</v>
      </c>
      <c r="D2350" s="89" t="s">
        <v>663</v>
      </c>
    </row>
    <row r="2351" spans="1:4" x14ac:dyDescent="0.25">
      <c r="A2351" s="89" t="s">
        <v>90</v>
      </c>
      <c r="B2351" s="89" t="s">
        <v>617</v>
      </c>
      <c r="C2351" s="89">
        <v>4414127</v>
      </c>
      <c r="D2351" s="89" t="s">
        <v>663</v>
      </c>
    </row>
    <row r="2352" spans="1:4" x14ac:dyDescent="0.25">
      <c r="A2352" s="89" t="s">
        <v>90</v>
      </c>
      <c r="B2352" s="89" t="s">
        <v>617</v>
      </c>
      <c r="C2352" s="89">
        <v>968933</v>
      </c>
      <c r="D2352" s="89" t="s">
        <v>663</v>
      </c>
    </row>
    <row r="2353" spans="1:4" x14ac:dyDescent="0.25">
      <c r="A2353" s="89" t="s">
        <v>90</v>
      </c>
      <c r="B2353" s="89" t="s">
        <v>617</v>
      </c>
      <c r="C2353" s="89">
        <v>1013909</v>
      </c>
      <c r="D2353" s="89" t="s">
        <v>666</v>
      </c>
    </row>
    <row r="2354" spans="1:4" x14ac:dyDescent="0.25">
      <c r="A2354" s="89" t="s">
        <v>90</v>
      </c>
      <c r="B2354" s="89" t="s">
        <v>617</v>
      </c>
      <c r="C2354" s="89">
        <v>722555</v>
      </c>
      <c r="D2354" s="89" t="s">
        <v>666</v>
      </c>
    </row>
    <row r="2355" spans="1:4" x14ac:dyDescent="0.25">
      <c r="A2355" s="89" t="s">
        <v>90</v>
      </c>
      <c r="B2355" s="89" t="s">
        <v>617</v>
      </c>
      <c r="C2355" s="89">
        <v>744954</v>
      </c>
      <c r="D2355" s="89" t="s">
        <v>664</v>
      </c>
    </row>
    <row r="2356" spans="1:4" x14ac:dyDescent="0.25">
      <c r="A2356" s="89" t="s">
        <v>90</v>
      </c>
      <c r="B2356" s="89" t="s">
        <v>617</v>
      </c>
      <c r="C2356" s="89">
        <v>4245039</v>
      </c>
      <c r="D2356" s="89" t="s">
        <v>663</v>
      </c>
    </row>
    <row r="2357" spans="1:4" x14ac:dyDescent="0.25">
      <c r="A2357" s="89" t="s">
        <v>90</v>
      </c>
      <c r="B2357" s="89" t="s">
        <v>617</v>
      </c>
      <c r="C2357" s="89">
        <v>5388130</v>
      </c>
      <c r="D2357" s="89" t="s">
        <v>663</v>
      </c>
    </row>
    <row r="2358" spans="1:4" x14ac:dyDescent="0.25">
      <c r="A2358" s="89" t="s">
        <v>90</v>
      </c>
      <c r="B2358" s="89" t="s">
        <v>617</v>
      </c>
      <c r="C2358" s="89">
        <v>3582157</v>
      </c>
      <c r="D2358" s="89" t="s">
        <v>663</v>
      </c>
    </row>
    <row r="2359" spans="1:4" x14ac:dyDescent="0.25">
      <c r="A2359" s="89" t="s">
        <v>90</v>
      </c>
      <c r="B2359" s="89" t="s">
        <v>617</v>
      </c>
      <c r="C2359" s="89">
        <v>2690782</v>
      </c>
      <c r="D2359" s="89" t="s">
        <v>663</v>
      </c>
    </row>
    <row r="2360" spans="1:4" x14ac:dyDescent="0.25">
      <c r="A2360" s="89" t="s">
        <v>90</v>
      </c>
      <c r="B2360" s="89" t="s">
        <v>617</v>
      </c>
      <c r="C2360" s="89">
        <v>926762</v>
      </c>
      <c r="D2360" s="89" t="s">
        <v>663</v>
      </c>
    </row>
    <row r="2361" spans="1:4" x14ac:dyDescent="0.25">
      <c r="A2361" s="89" t="s">
        <v>90</v>
      </c>
      <c r="B2361" s="89" t="s">
        <v>617</v>
      </c>
      <c r="C2361" s="89">
        <v>2692906</v>
      </c>
      <c r="D2361" s="89" t="s">
        <v>663</v>
      </c>
    </row>
    <row r="2362" spans="1:4" x14ac:dyDescent="0.25">
      <c r="A2362" s="89" t="s">
        <v>90</v>
      </c>
      <c r="B2362" s="89" t="s">
        <v>617</v>
      </c>
      <c r="C2362" s="89">
        <v>2757315</v>
      </c>
      <c r="D2362" s="89" t="s">
        <v>663</v>
      </c>
    </row>
    <row r="2363" spans="1:4" x14ac:dyDescent="0.25">
      <c r="A2363" s="89" t="s">
        <v>90</v>
      </c>
      <c r="B2363" s="89" t="s">
        <v>617</v>
      </c>
      <c r="C2363" s="89">
        <v>346946</v>
      </c>
      <c r="D2363" s="89" t="s">
        <v>664</v>
      </c>
    </row>
    <row r="2364" spans="1:4" x14ac:dyDescent="0.25">
      <c r="A2364" s="89" t="s">
        <v>90</v>
      </c>
      <c r="B2364" s="89" t="s">
        <v>617</v>
      </c>
      <c r="C2364" s="89">
        <v>2487396</v>
      </c>
      <c r="D2364" s="89" t="s">
        <v>663</v>
      </c>
    </row>
    <row r="2365" spans="1:4" x14ac:dyDescent="0.25">
      <c r="A2365" s="89" t="s">
        <v>90</v>
      </c>
      <c r="B2365" s="89" t="s">
        <v>617</v>
      </c>
      <c r="C2365" s="89">
        <v>1406483</v>
      </c>
      <c r="D2365" s="89" t="s">
        <v>666</v>
      </c>
    </row>
    <row r="2366" spans="1:4" x14ac:dyDescent="0.25">
      <c r="A2366" s="89" t="s">
        <v>90</v>
      </c>
      <c r="B2366" s="89" t="s">
        <v>617</v>
      </c>
      <c r="C2366" s="89">
        <v>2450766</v>
      </c>
      <c r="D2366" s="89" t="s">
        <v>663</v>
      </c>
    </row>
    <row r="2367" spans="1:4" x14ac:dyDescent="0.25">
      <c r="A2367" s="89" t="s">
        <v>90</v>
      </c>
      <c r="B2367" s="89" t="s">
        <v>617</v>
      </c>
      <c r="C2367" s="89">
        <v>4796542.45</v>
      </c>
      <c r="D2367" s="89" t="s">
        <v>663</v>
      </c>
    </row>
    <row r="2368" spans="1:4" x14ac:dyDescent="0.25">
      <c r="A2368" s="89" t="s">
        <v>90</v>
      </c>
      <c r="B2368" s="89" t="s">
        <v>617</v>
      </c>
      <c r="C2368" s="89">
        <v>3000058.71</v>
      </c>
      <c r="D2368" s="89" t="s">
        <v>663</v>
      </c>
    </row>
    <row r="2369" spans="1:4" x14ac:dyDescent="0.25">
      <c r="A2369" s="89" t="s">
        <v>90</v>
      </c>
      <c r="B2369" s="89" t="s">
        <v>617</v>
      </c>
      <c r="C2369" s="89">
        <v>421410</v>
      </c>
      <c r="D2369" s="89" t="s">
        <v>664</v>
      </c>
    </row>
    <row r="2370" spans="1:4" x14ac:dyDescent="0.25">
      <c r="A2370" s="89" t="s">
        <v>90</v>
      </c>
      <c r="B2370" s="89" t="s">
        <v>617</v>
      </c>
      <c r="C2370" s="89">
        <v>954886</v>
      </c>
      <c r="D2370" s="89" t="s">
        <v>664</v>
      </c>
    </row>
    <row r="2371" spans="1:4" x14ac:dyDescent="0.25">
      <c r="A2371" s="89" t="s">
        <v>90</v>
      </c>
      <c r="B2371" s="89" t="s">
        <v>617</v>
      </c>
      <c r="C2371" s="89">
        <v>1878002</v>
      </c>
      <c r="D2371" s="89" t="s">
        <v>663</v>
      </c>
    </row>
    <row r="2372" spans="1:4" x14ac:dyDescent="0.25">
      <c r="A2372" s="89" t="s">
        <v>90</v>
      </c>
      <c r="B2372" s="89" t="s">
        <v>617</v>
      </c>
      <c r="C2372" s="89">
        <v>3780220.39</v>
      </c>
      <c r="D2372" s="89" t="s">
        <v>663</v>
      </c>
    </row>
    <row r="2373" spans="1:4" x14ac:dyDescent="0.25">
      <c r="A2373" s="89" t="s">
        <v>90</v>
      </c>
      <c r="B2373" s="89" t="s">
        <v>617</v>
      </c>
      <c r="C2373" s="89">
        <v>674101</v>
      </c>
      <c r="D2373" s="89" t="s">
        <v>664</v>
      </c>
    </row>
    <row r="2374" spans="1:4" x14ac:dyDescent="0.25">
      <c r="A2374" s="89" t="s">
        <v>90</v>
      </c>
      <c r="B2374" s="89" t="s">
        <v>617</v>
      </c>
      <c r="C2374" s="89">
        <v>1223899</v>
      </c>
      <c r="D2374" s="89" t="s">
        <v>666</v>
      </c>
    </row>
    <row r="2375" spans="1:4" x14ac:dyDescent="0.25">
      <c r="A2375" s="89" t="s">
        <v>90</v>
      </c>
      <c r="B2375" s="89" t="s">
        <v>617</v>
      </c>
      <c r="C2375" s="89">
        <v>3524525.62</v>
      </c>
      <c r="D2375" s="89" t="s">
        <v>663</v>
      </c>
    </row>
    <row r="2376" spans="1:4" x14ac:dyDescent="0.25">
      <c r="A2376" s="89" t="s">
        <v>90</v>
      </c>
      <c r="B2376" s="89" t="s">
        <v>617</v>
      </c>
      <c r="C2376" s="89">
        <v>429415</v>
      </c>
      <c r="D2376" s="89" t="s">
        <v>663</v>
      </c>
    </row>
    <row r="2377" spans="1:4" x14ac:dyDescent="0.25">
      <c r="A2377" s="89" t="s">
        <v>90</v>
      </c>
      <c r="B2377" s="89" t="s">
        <v>617</v>
      </c>
      <c r="C2377" s="89">
        <v>6310222</v>
      </c>
      <c r="D2377" s="89" t="s">
        <v>663</v>
      </c>
    </row>
    <row r="2378" spans="1:4" x14ac:dyDescent="0.25">
      <c r="A2378" s="89" t="s">
        <v>90</v>
      </c>
      <c r="B2378" s="89" t="s">
        <v>617</v>
      </c>
      <c r="C2378" s="89">
        <v>-5801.5</v>
      </c>
      <c r="D2378" s="89" t="s">
        <v>664</v>
      </c>
    </row>
    <row r="2379" spans="1:4" x14ac:dyDescent="0.25">
      <c r="A2379" s="89" t="s">
        <v>90</v>
      </c>
      <c r="B2379" s="89" t="s">
        <v>617</v>
      </c>
      <c r="C2379" s="89">
        <v>2947911.42</v>
      </c>
      <c r="D2379" s="89" t="s">
        <v>663</v>
      </c>
    </row>
    <row r="2380" spans="1:4" x14ac:dyDescent="0.25">
      <c r="A2380" s="89" t="s">
        <v>90</v>
      </c>
      <c r="B2380" s="89" t="s">
        <v>617</v>
      </c>
      <c r="C2380" s="89">
        <v>-25640.1</v>
      </c>
      <c r="D2380" s="89" t="s">
        <v>664</v>
      </c>
    </row>
    <row r="2381" spans="1:4" x14ac:dyDescent="0.25">
      <c r="A2381" s="89" t="s">
        <v>90</v>
      </c>
      <c r="B2381" s="89" t="s">
        <v>617</v>
      </c>
      <c r="C2381" s="89">
        <v>18414516</v>
      </c>
      <c r="D2381" s="89" t="s">
        <v>664</v>
      </c>
    </row>
    <row r="2382" spans="1:4" x14ac:dyDescent="0.25">
      <c r="A2382" s="89" t="s">
        <v>90</v>
      </c>
      <c r="B2382" s="89" t="s">
        <v>617</v>
      </c>
      <c r="C2382" s="89">
        <v>3179092</v>
      </c>
      <c r="D2382" s="89" t="s">
        <v>666</v>
      </c>
    </row>
    <row r="2383" spans="1:4" x14ac:dyDescent="0.25">
      <c r="A2383" s="89" t="s">
        <v>90</v>
      </c>
      <c r="B2383" s="89" t="s">
        <v>617</v>
      </c>
      <c r="C2383" s="89">
        <v>8376266</v>
      </c>
      <c r="D2383" s="89" t="s">
        <v>663</v>
      </c>
    </row>
    <row r="2384" spans="1:4" x14ac:dyDescent="0.25">
      <c r="A2384" s="89" t="s">
        <v>90</v>
      </c>
      <c r="B2384" s="89" t="s">
        <v>617</v>
      </c>
      <c r="C2384" s="89">
        <v>233972</v>
      </c>
      <c r="D2384" s="89" t="s">
        <v>663</v>
      </c>
    </row>
    <row r="2385" spans="1:4" x14ac:dyDescent="0.25">
      <c r="A2385" s="89" t="s">
        <v>90</v>
      </c>
      <c r="B2385" s="89" t="s">
        <v>617</v>
      </c>
      <c r="C2385" s="89">
        <v>-688795.68</v>
      </c>
      <c r="D2385" s="89" t="s">
        <v>664</v>
      </c>
    </row>
    <row r="2386" spans="1:4" x14ac:dyDescent="0.25">
      <c r="A2386" s="89" t="s">
        <v>90</v>
      </c>
      <c r="B2386" s="89" t="s">
        <v>617</v>
      </c>
      <c r="C2386" s="89">
        <v>693672.48</v>
      </c>
      <c r="D2386" s="89" t="s">
        <v>663</v>
      </c>
    </row>
    <row r="2387" spans="1:4" x14ac:dyDescent="0.25">
      <c r="A2387" s="89" t="s">
        <v>90</v>
      </c>
      <c r="B2387" s="89" t="s">
        <v>617</v>
      </c>
      <c r="C2387" s="89">
        <v>-36730.51</v>
      </c>
      <c r="D2387" s="89" t="s">
        <v>664</v>
      </c>
    </row>
    <row r="2388" spans="1:4" x14ac:dyDescent="0.25">
      <c r="A2388" s="89" t="s">
        <v>45</v>
      </c>
      <c r="B2388" s="89" t="s">
        <v>616</v>
      </c>
      <c r="C2388" s="89">
        <v>379889</v>
      </c>
      <c r="D2388" s="89" t="s">
        <v>664</v>
      </c>
    </row>
    <row r="2389" spans="1:4" x14ac:dyDescent="0.25">
      <c r="A2389" s="89" t="s">
        <v>45</v>
      </c>
      <c r="B2389" s="89" t="s">
        <v>616</v>
      </c>
      <c r="C2389" s="89">
        <v>3521062</v>
      </c>
      <c r="D2389" s="89" t="s">
        <v>663</v>
      </c>
    </row>
    <row r="2390" spans="1:4" x14ac:dyDescent="0.25">
      <c r="A2390" s="89" t="s">
        <v>45</v>
      </c>
      <c r="B2390" s="89" t="s">
        <v>616</v>
      </c>
      <c r="C2390" s="89">
        <v>600000</v>
      </c>
      <c r="D2390" s="89" t="s">
        <v>666</v>
      </c>
    </row>
    <row r="2391" spans="1:4" x14ac:dyDescent="0.25">
      <c r="A2391" s="89" t="s">
        <v>45</v>
      </c>
      <c r="B2391" s="89" t="s">
        <v>616</v>
      </c>
      <c r="C2391" s="89">
        <v>700000</v>
      </c>
      <c r="D2391" s="89" t="s">
        <v>664</v>
      </c>
    </row>
    <row r="2392" spans="1:4" x14ac:dyDescent="0.25">
      <c r="A2392" s="89" t="s">
        <v>45</v>
      </c>
      <c r="B2392" s="89" t="s">
        <v>616</v>
      </c>
      <c r="C2392" s="89">
        <v>3162161</v>
      </c>
      <c r="D2392" s="89" t="s">
        <v>663</v>
      </c>
    </row>
    <row r="2393" spans="1:4" x14ac:dyDescent="0.25">
      <c r="A2393" s="89" t="s">
        <v>45</v>
      </c>
      <c r="B2393" s="89" t="s">
        <v>616</v>
      </c>
      <c r="C2393" s="89">
        <v>1107997</v>
      </c>
      <c r="D2393" s="89" t="s">
        <v>666</v>
      </c>
    </row>
    <row r="2394" spans="1:4" x14ac:dyDescent="0.25">
      <c r="A2394" s="89" t="s">
        <v>45</v>
      </c>
      <c r="B2394" s="89" t="s">
        <v>616</v>
      </c>
      <c r="C2394" s="89">
        <v>1271983</v>
      </c>
      <c r="D2394" s="89" t="s">
        <v>664</v>
      </c>
    </row>
    <row r="2395" spans="1:4" x14ac:dyDescent="0.25">
      <c r="A2395" s="89" t="s">
        <v>45</v>
      </c>
      <c r="B2395" s="89" t="s">
        <v>616</v>
      </c>
      <c r="C2395" s="89">
        <v>3495088.34</v>
      </c>
      <c r="D2395" s="89" t="s">
        <v>663</v>
      </c>
    </row>
    <row r="2396" spans="1:4" x14ac:dyDescent="0.25">
      <c r="A2396" s="89" t="s">
        <v>45</v>
      </c>
      <c r="B2396" s="89" t="s">
        <v>616</v>
      </c>
      <c r="C2396" s="89">
        <v>196171</v>
      </c>
      <c r="D2396" s="89" t="s">
        <v>666</v>
      </c>
    </row>
    <row r="2397" spans="1:4" x14ac:dyDescent="0.25">
      <c r="A2397" s="89" t="s">
        <v>45</v>
      </c>
      <c r="B2397" s="89" t="s">
        <v>616</v>
      </c>
      <c r="C2397" s="89">
        <v>150972</v>
      </c>
      <c r="D2397" s="89" t="s">
        <v>664</v>
      </c>
    </row>
    <row r="2398" spans="1:4" x14ac:dyDescent="0.25">
      <c r="A2398" s="89" t="s">
        <v>45</v>
      </c>
      <c r="B2398" s="89" t="s">
        <v>616</v>
      </c>
      <c r="C2398" s="89">
        <v>3806365</v>
      </c>
      <c r="D2398" s="89" t="s">
        <v>663</v>
      </c>
    </row>
    <row r="2399" spans="1:4" x14ac:dyDescent="0.25">
      <c r="A2399" s="89" t="s">
        <v>45</v>
      </c>
      <c r="B2399" s="89" t="s">
        <v>616</v>
      </c>
      <c r="C2399" s="89">
        <v>603938</v>
      </c>
      <c r="D2399" s="89" t="s">
        <v>663</v>
      </c>
    </row>
    <row r="2400" spans="1:4" x14ac:dyDescent="0.25">
      <c r="A2400" s="89" t="s">
        <v>45</v>
      </c>
      <c r="B2400" s="89" t="s">
        <v>616</v>
      </c>
      <c r="C2400" s="89">
        <v>-480860.39</v>
      </c>
      <c r="D2400" s="89" t="s">
        <v>663</v>
      </c>
    </row>
    <row r="2401" spans="1:4" x14ac:dyDescent="0.25">
      <c r="A2401" s="89" t="s">
        <v>45</v>
      </c>
      <c r="B2401" s="89" t="s">
        <v>616</v>
      </c>
      <c r="C2401" s="89">
        <v>-273512.21000000002</v>
      </c>
      <c r="D2401" s="89" t="s">
        <v>666</v>
      </c>
    </row>
    <row r="2402" spans="1:4" x14ac:dyDescent="0.25">
      <c r="A2402" s="89" t="s">
        <v>45</v>
      </c>
      <c r="B2402" s="89" t="s">
        <v>616</v>
      </c>
      <c r="C2402" s="89">
        <v>-72541.320000000007</v>
      </c>
      <c r="D2402" s="89" t="s">
        <v>664</v>
      </c>
    </row>
    <row r="2403" spans="1:4" x14ac:dyDescent="0.25">
      <c r="A2403" s="89" t="s">
        <v>45</v>
      </c>
      <c r="B2403" s="89" t="s">
        <v>616</v>
      </c>
      <c r="C2403" s="89">
        <v>193045</v>
      </c>
      <c r="D2403" s="89" t="s">
        <v>664</v>
      </c>
    </row>
    <row r="2404" spans="1:4" x14ac:dyDescent="0.25">
      <c r="A2404" s="89" t="s">
        <v>45</v>
      </c>
      <c r="B2404" s="89" t="s">
        <v>616</v>
      </c>
      <c r="C2404" s="89">
        <v>209214</v>
      </c>
      <c r="D2404" s="89" t="s">
        <v>664</v>
      </c>
    </row>
    <row r="2405" spans="1:4" x14ac:dyDescent="0.25">
      <c r="A2405" s="89" t="s">
        <v>45</v>
      </c>
      <c r="B2405" s="89" t="s">
        <v>616</v>
      </c>
      <c r="C2405" s="89">
        <v>2542382</v>
      </c>
      <c r="D2405" s="89" t="s">
        <v>663</v>
      </c>
    </row>
    <row r="2406" spans="1:4" x14ac:dyDescent="0.25">
      <c r="A2406" s="89" t="s">
        <v>45</v>
      </c>
      <c r="B2406" s="89" t="s">
        <v>616</v>
      </c>
      <c r="C2406" s="89">
        <v>1623914</v>
      </c>
      <c r="D2406" s="89" t="s">
        <v>663</v>
      </c>
    </row>
    <row r="2407" spans="1:4" x14ac:dyDescent="0.25">
      <c r="A2407" s="89" t="s">
        <v>45</v>
      </c>
      <c r="B2407" s="89" t="s">
        <v>616</v>
      </c>
      <c r="C2407" s="89">
        <v>4423466</v>
      </c>
      <c r="D2407" s="89" t="s">
        <v>663</v>
      </c>
    </row>
    <row r="2408" spans="1:4" x14ac:dyDescent="0.25">
      <c r="A2408" s="89" t="s">
        <v>45</v>
      </c>
      <c r="B2408" s="89" t="s">
        <v>616</v>
      </c>
      <c r="C2408" s="89">
        <v>626696</v>
      </c>
      <c r="D2408" s="89" t="s">
        <v>664</v>
      </c>
    </row>
    <row r="2409" spans="1:4" x14ac:dyDescent="0.25">
      <c r="A2409" s="89" t="s">
        <v>45</v>
      </c>
      <c r="B2409" s="89" t="s">
        <v>616</v>
      </c>
      <c r="C2409" s="89">
        <v>16292</v>
      </c>
      <c r="D2409" s="89" t="s">
        <v>664</v>
      </c>
    </row>
    <row r="2410" spans="1:4" x14ac:dyDescent="0.25">
      <c r="A2410" s="89" t="s">
        <v>45</v>
      </c>
      <c r="B2410" s="89" t="s">
        <v>616</v>
      </c>
      <c r="C2410" s="89">
        <v>508249.2</v>
      </c>
      <c r="D2410" s="89" t="s">
        <v>664</v>
      </c>
    </row>
    <row r="2411" spans="1:4" x14ac:dyDescent="0.25">
      <c r="A2411" s="89" t="s">
        <v>45</v>
      </c>
      <c r="B2411" s="89" t="s">
        <v>616</v>
      </c>
      <c r="C2411" s="89">
        <v>1407627</v>
      </c>
      <c r="D2411" s="89" t="s">
        <v>663</v>
      </c>
    </row>
    <row r="2412" spans="1:4" x14ac:dyDescent="0.25">
      <c r="A2412" s="89" t="s">
        <v>45</v>
      </c>
      <c r="B2412" s="89" t="s">
        <v>616</v>
      </c>
      <c r="C2412" s="89">
        <v>564865</v>
      </c>
      <c r="D2412" s="89" t="s">
        <v>664</v>
      </c>
    </row>
    <row r="2413" spans="1:4" x14ac:dyDescent="0.25">
      <c r="A2413" s="89" t="s">
        <v>45</v>
      </c>
      <c r="B2413" s="89" t="s">
        <v>616</v>
      </c>
      <c r="C2413" s="89">
        <v>1027646</v>
      </c>
      <c r="D2413" s="89" t="s">
        <v>663</v>
      </c>
    </row>
    <row r="2414" spans="1:4" x14ac:dyDescent="0.25">
      <c r="A2414" s="89" t="s">
        <v>45</v>
      </c>
      <c r="B2414" s="89" t="s">
        <v>616</v>
      </c>
      <c r="C2414" s="89">
        <v>2004937</v>
      </c>
      <c r="D2414" s="89" t="s">
        <v>663</v>
      </c>
    </row>
    <row r="2415" spans="1:4" x14ac:dyDescent="0.25">
      <c r="A2415" s="89" t="s">
        <v>45</v>
      </c>
      <c r="B2415" s="89" t="s">
        <v>616</v>
      </c>
      <c r="C2415" s="89">
        <v>1574508</v>
      </c>
      <c r="D2415" s="89" t="s">
        <v>663</v>
      </c>
    </row>
    <row r="2416" spans="1:4" x14ac:dyDescent="0.25">
      <c r="A2416" s="89" t="s">
        <v>45</v>
      </c>
      <c r="B2416" s="89" t="s">
        <v>616</v>
      </c>
      <c r="C2416" s="89">
        <v>1122890</v>
      </c>
      <c r="D2416" s="89" t="s">
        <v>666</v>
      </c>
    </row>
    <row r="2417" spans="1:4" x14ac:dyDescent="0.25">
      <c r="A2417" s="89" t="s">
        <v>45</v>
      </c>
      <c r="B2417" s="89" t="s">
        <v>616</v>
      </c>
      <c r="C2417" s="89">
        <v>1048517</v>
      </c>
      <c r="D2417" s="89" t="s">
        <v>664</v>
      </c>
    </row>
    <row r="2418" spans="1:4" x14ac:dyDescent="0.25">
      <c r="A2418" s="89" t="s">
        <v>45</v>
      </c>
      <c r="B2418" s="89" t="s">
        <v>616</v>
      </c>
      <c r="C2418" s="89">
        <v>436271</v>
      </c>
      <c r="D2418" s="89" t="s">
        <v>663</v>
      </c>
    </row>
    <row r="2419" spans="1:4" x14ac:dyDescent="0.25">
      <c r="A2419" s="89" t="s">
        <v>45</v>
      </c>
      <c r="B2419" s="89" t="s">
        <v>616</v>
      </c>
      <c r="C2419" s="89">
        <v>29021</v>
      </c>
      <c r="D2419" s="89" t="s">
        <v>666</v>
      </c>
    </row>
    <row r="2420" spans="1:4" x14ac:dyDescent="0.25">
      <c r="A2420" s="89" t="s">
        <v>45</v>
      </c>
      <c r="B2420" s="89" t="s">
        <v>616</v>
      </c>
      <c r="C2420" s="89">
        <v>53507</v>
      </c>
      <c r="D2420" s="89" t="s">
        <v>664</v>
      </c>
    </row>
    <row r="2421" spans="1:4" x14ac:dyDescent="0.25">
      <c r="A2421" s="89" t="s">
        <v>45</v>
      </c>
      <c r="B2421" s="89" t="s">
        <v>616</v>
      </c>
      <c r="C2421" s="89">
        <v>500000</v>
      </c>
      <c r="D2421" s="89" t="s">
        <v>666</v>
      </c>
    </row>
    <row r="2422" spans="1:4" x14ac:dyDescent="0.25">
      <c r="A2422" s="89" t="s">
        <v>45</v>
      </c>
      <c r="B2422" s="89" t="s">
        <v>616</v>
      </c>
      <c r="C2422" s="89">
        <v>600000</v>
      </c>
      <c r="D2422" s="89" t="s">
        <v>664</v>
      </c>
    </row>
    <row r="2423" spans="1:4" x14ac:dyDescent="0.25">
      <c r="A2423" s="89" t="s">
        <v>45</v>
      </c>
      <c r="B2423" s="89" t="s">
        <v>616</v>
      </c>
      <c r="C2423" s="89">
        <v>1523607</v>
      </c>
      <c r="D2423" s="89" t="s">
        <v>663</v>
      </c>
    </row>
    <row r="2424" spans="1:4" x14ac:dyDescent="0.25">
      <c r="A2424" s="89" t="s">
        <v>45</v>
      </c>
      <c r="B2424" s="89" t="s">
        <v>616</v>
      </c>
      <c r="C2424" s="89">
        <v>1230255.48</v>
      </c>
      <c r="D2424" s="89" t="s">
        <v>664</v>
      </c>
    </row>
    <row r="2425" spans="1:4" x14ac:dyDescent="0.25">
      <c r="A2425" s="89" t="s">
        <v>45</v>
      </c>
      <c r="B2425" s="89" t="s">
        <v>616</v>
      </c>
      <c r="C2425" s="89">
        <v>2201610.66</v>
      </c>
      <c r="D2425" s="89" t="s">
        <v>663</v>
      </c>
    </row>
    <row r="2426" spans="1:4" x14ac:dyDescent="0.25">
      <c r="A2426" s="89" t="s">
        <v>45</v>
      </c>
      <c r="B2426" s="89" t="s">
        <v>616</v>
      </c>
      <c r="C2426" s="89">
        <v>1331730</v>
      </c>
      <c r="D2426" s="89" t="s">
        <v>664</v>
      </c>
    </row>
    <row r="2427" spans="1:4" x14ac:dyDescent="0.25">
      <c r="A2427" s="89" t="s">
        <v>45</v>
      </c>
      <c r="B2427" s="89" t="s">
        <v>616</v>
      </c>
      <c r="C2427" s="89">
        <v>993000</v>
      </c>
      <c r="D2427" s="89" t="s">
        <v>666</v>
      </c>
    </row>
    <row r="2428" spans="1:4" x14ac:dyDescent="0.25">
      <c r="A2428" s="89" t="s">
        <v>45</v>
      </c>
      <c r="B2428" s="89" t="s">
        <v>616</v>
      </c>
      <c r="C2428" s="89">
        <v>2200000</v>
      </c>
      <c r="D2428" s="89" t="s">
        <v>663</v>
      </c>
    </row>
    <row r="2429" spans="1:4" x14ac:dyDescent="0.25">
      <c r="A2429" s="89" t="s">
        <v>45</v>
      </c>
      <c r="B2429" s="89" t="s">
        <v>616</v>
      </c>
      <c r="C2429" s="89">
        <v>685734.66</v>
      </c>
      <c r="D2429" s="89" t="s">
        <v>663</v>
      </c>
    </row>
    <row r="2430" spans="1:4" x14ac:dyDescent="0.25">
      <c r="A2430" s="89" t="s">
        <v>45</v>
      </c>
      <c r="B2430" s="89" t="s">
        <v>616</v>
      </c>
      <c r="C2430" s="89">
        <v>514730</v>
      </c>
      <c r="D2430" s="89" t="s">
        <v>666</v>
      </c>
    </row>
    <row r="2431" spans="1:4" x14ac:dyDescent="0.25">
      <c r="A2431" s="89" t="s">
        <v>45</v>
      </c>
      <c r="B2431" s="89" t="s">
        <v>616</v>
      </c>
      <c r="C2431" s="89">
        <v>1500760</v>
      </c>
      <c r="D2431" s="89" t="s">
        <v>663</v>
      </c>
    </row>
    <row r="2432" spans="1:4" x14ac:dyDescent="0.25">
      <c r="A2432" s="89" t="s">
        <v>45</v>
      </c>
      <c r="B2432" s="89" t="s">
        <v>616</v>
      </c>
      <c r="C2432" s="89">
        <v>6500</v>
      </c>
      <c r="D2432" s="89" t="s">
        <v>666</v>
      </c>
    </row>
    <row r="2433" spans="1:4" x14ac:dyDescent="0.25">
      <c r="A2433" s="89" t="s">
        <v>45</v>
      </c>
      <c r="B2433" s="89" t="s">
        <v>616</v>
      </c>
      <c r="C2433" s="89">
        <v>6000</v>
      </c>
      <c r="D2433" s="89" t="s">
        <v>664</v>
      </c>
    </row>
    <row r="2434" spans="1:4" x14ac:dyDescent="0.25">
      <c r="A2434" s="89" t="s">
        <v>45</v>
      </c>
      <c r="B2434" s="89" t="s">
        <v>616</v>
      </c>
      <c r="C2434" s="89">
        <v>316263</v>
      </c>
      <c r="D2434" s="89" t="s">
        <v>663</v>
      </c>
    </row>
    <row r="2435" spans="1:4" x14ac:dyDescent="0.25">
      <c r="A2435" s="89" t="s">
        <v>45</v>
      </c>
      <c r="B2435" s="89" t="s">
        <v>616</v>
      </c>
      <c r="C2435" s="89">
        <v>242162</v>
      </c>
      <c r="D2435" s="89" t="s">
        <v>664</v>
      </c>
    </row>
    <row r="2436" spans="1:4" x14ac:dyDescent="0.25">
      <c r="A2436" s="89" t="s">
        <v>45</v>
      </c>
      <c r="B2436" s="89" t="s">
        <v>616</v>
      </c>
      <c r="C2436" s="89">
        <v>161231</v>
      </c>
      <c r="D2436" s="89" t="s">
        <v>664</v>
      </c>
    </row>
    <row r="2437" spans="1:4" x14ac:dyDescent="0.25">
      <c r="A2437" s="89" t="s">
        <v>45</v>
      </c>
      <c r="B2437" s="89" t="s">
        <v>616</v>
      </c>
      <c r="C2437" s="89">
        <v>25758.87</v>
      </c>
      <c r="D2437" s="89" t="s">
        <v>664</v>
      </c>
    </row>
    <row r="2438" spans="1:4" x14ac:dyDescent="0.25">
      <c r="A2438" s="89" t="s">
        <v>45</v>
      </c>
      <c r="B2438" s="89" t="s">
        <v>616</v>
      </c>
      <c r="C2438" s="89">
        <v>146183</v>
      </c>
      <c r="D2438" s="89" t="s">
        <v>666</v>
      </c>
    </row>
    <row r="2439" spans="1:4" x14ac:dyDescent="0.25">
      <c r="A2439" s="89" t="s">
        <v>45</v>
      </c>
      <c r="B2439" s="89" t="s">
        <v>616</v>
      </c>
      <c r="C2439" s="89">
        <v>4013442</v>
      </c>
      <c r="D2439" s="89" t="s">
        <v>663</v>
      </c>
    </row>
    <row r="2440" spans="1:4" x14ac:dyDescent="0.25">
      <c r="A2440" s="89" t="s">
        <v>45</v>
      </c>
      <c r="B2440" s="89" t="s">
        <v>616</v>
      </c>
      <c r="C2440" s="89">
        <v>1166692</v>
      </c>
      <c r="D2440" s="89" t="s">
        <v>666</v>
      </c>
    </row>
    <row r="2441" spans="1:4" x14ac:dyDescent="0.25">
      <c r="A2441" s="89" t="s">
        <v>45</v>
      </c>
      <c r="B2441" s="89" t="s">
        <v>616</v>
      </c>
      <c r="C2441" s="89">
        <v>185149</v>
      </c>
      <c r="D2441" s="89" t="s">
        <v>664</v>
      </c>
    </row>
    <row r="2442" spans="1:4" x14ac:dyDescent="0.25">
      <c r="A2442" s="89" t="s">
        <v>45</v>
      </c>
      <c r="B2442" s="89" t="s">
        <v>616</v>
      </c>
      <c r="C2442" s="89">
        <v>3663846</v>
      </c>
      <c r="D2442" s="89" t="s">
        <v>663</v>
      </c>
    </row>
    <row r="2443" spans="1:4" x14ac:dyDescent="0.25">
      <c r="A2443" s="89" t="s">
        <v>45</v>
      </c>
      <c r="B2443" s="89" t="s">
        <v>616</v>
      </c>
      <c r="C2443" s="89">
        <v>474036.43</v>
      </c>
      <c r="D2443" s="89" t="s">
        <v>664</v>
      </c>
    </row>
    <row r="2444" spans="1:4" x14ac:dyDescent="0.25">
      <c r="A2444" s="89" t="s">
        <v>45</v>
      </c>
      <c r="B2444" s="89" t="s">
        <v>616</v>
      </c>
      <c r="C2444" s="89">
        <v>110932.94</v>
      </c>
      <c r="D2444" s="89" t="s">
        <v>663</v>
      </c>
    </row>
    <row r="2445" spans="1:4" x14ac:dyDescent="0.25">
      <c r="A2445" s="89" t="s">
        <v>45</v>
      </c>
      <c r="B2445" s="89" t="s">
        <v>616</v>
      </c>
      <c r="C2445" s="89">
        <v>480000</v>
      </c>
      <c r="D2445" s="89" t="s">
        <v>663</v>
      </c>
    </row>
    <row r="2446" spans="1:4" x14ac:dyDescent="0.25">
      <c r="A2446" s="89" t="s">
        <v>45</v>
      </c>
      <c r="B2446" s="89" t="s">
        <v>616</v>
      </c>
      <c r="C2446" s="89">
        <v>401583.42</v>
      </c>
      <c r="D2446" s="89" t="s">
        <v>664</v>
      </c>
    </row>
    <row r="2447" spans="1:4" x14ac:dyDescent="0.25">
      <c r="A2447" s="89" t="s">
        <v>45</v>
      </c>
      <c r="B2447" s="89" t="s">
        <v>616</v>
      </c>
      <c r="C2447" s="89">
        <v>22449.75</v>
      </c>
      <c r="D2447" s="89" t="s">
        <v>664</v>
      </c>
    </row>
    <row r="2448" spans="1:4" x14ac:dyDescent="0.25">
      <c r="A2448" s="89" t="s">
        <v>45</v>
      </c>
      <c r="B2448" s="89" t="s">
        <v>616</v>
      </c>
      <c r="C2448" s="89">
        <v>471043</v>
      </c>
      <c r="D2448" s="89" t="s">
        <v>664</v>
      </c>
    </row>
    <row r="2449" spans="1:4" x14ac:dyDescent="0.25">
      <c r="A2449" s="89" t="s">
        <v>45</v>
      </c>
      <c r="B2449" s="89" t="s">
        <v>616</v>
      </c>
      <c r="C2449" s="89">
        <v>5407742.7800000003</v>
      </c>
      <c r="D2449" s="89" t="s">
        <v>663</v>
      </c>
    </row>
    <row r="2450" spans="1:4" x14ac:dyDescent="0.25">
      <c r="A2450" s="89" t="s">
        <v>45</v>
      </c>
      <c r="B2450" s="89" t="s">
        <v>616</v>
      </c>
      <c r="C2450" s="89">
        <v>-107954.01</v>
      </c>
      <c r="D2450" s="89" t="s">
        <v>663</v>
      </c>
    </row>
    <row r="2451" spans="1:4" x14ac:dyDescent="0.25">
      <c r="A2451" s="89" t="s">
        <v>45</v>
      </c>
      <c r="B2451" s="89" t="s">
        <v>616</v>
      </c>
      <c r="C2451" s="89">
        <v>1159306</v>
      </c>
      <c r="D2451" s="89" t="s">
        <v>663</v>
      </c>
    </row>
    <row r="2452" spans="1:4" x14ac:dyDescent="0.25">
      <c r="A2452" s="89" t="s">
        <v>45</v>
      </c>
      <c r="B2452" s="89" t="s">
        <v>616</v>
      </c>
      <c r="C2452" s="89">
        <v>3274205.27</v>
      </c>
      <c r="D2452" s="89" t="s">
        <v>663</v>
      </c>
    </row>
    <row r="2453" spans="1:4" x14ac:dyDescent="0.25">
      <c r="A2453" s="89" t="s">
        <v>44</v>
      </c>
      <c r="B2453" s="89" t="s">
        <v>637</v>
      </c>
      <c r="C2453" s="89">
        <v>1986008</v>
      </c>
      <c r="D2453" s="89" t="s">
        <v>666</v>
      </c>
    </row>
    <row r="2454" spans="1:4" x14ac:dyDescent="0.25">
      <c r="A2454" s="89" t="s">
        <v>44</v>
      </c>
      <c r="B2454" s="89" t="s">
        <v>637</v>
      </c>
      <c r="C2454" s="89">
        <v>1140000</v>
      </c>
      <c r="D2454" s="89" t="s">
        <v>666</v>
      </c>
    </row>
    <row r="2455" spans="1:4" x14ac:dyDescent="0.25">
      <c r="A2455" s="89" t="s">
        <v>44</v>
      </c>
      <c r="B2455" s="89" t="s">
        <v>637</v>
      </c>
      <c r="C2455" s="89">
        <v>5000000</v>
      </c>
      <c r="D2455" s="89" t="s">
        <v>663</v>
      </c>
    </row>
    <row r="2456" spans="1:4" x14ac:dyDescent="0.25">
      <c r="A2456" s="89" t="s">
        <v>44</v>
      </c>
      <c r="B2456" s="89" t="s">
        <v>637</v>
      </c>
      <c r="C2456" s="89">
        <v>1041678</v>
      </c>
      <c r="D2456" s="89" t="s">
        <v>666</v>
      </c>
    </row>
    <row r="2457" spans="1:4" x14ac:dyDescent="0.25">
      <c r="A2457" s="89" t="s">
        <v>44</v>
      </c>
      <c r="B2457" s="89" t="s">
        <v>637</v>
      </c>
      <c r="C2457" s="89">
        <v>500391</v>
      </c>
      <c r="D2457" s="89" t="s">
        <v>663</v>
      </c>
    </row>
    <row r="2458" spans="1:4" x14ac:dyDescent="0.25">
      <c r="A2458" s="89" t="s">
        <v>44</v>
      </c>
      <c r="B2458" s="89" t="s">
        <v>637</v>
      </c>
      <c r="C2458" s="89">
        <v>2816683</v>
      </c>
      <c r="D2458" s="89" t="s">
        <v>663</v>
      </c>
    </row>
    <row r="2459" spans="1:4" x14ac:dyDescent="0.25">
      <c r="A2459" s="89" t="s">
        <v>44</v>
      </c>
      <c r="B2459" s="89" t="s">
        <v>637</v>
      </c>
      <c r="C2459" s="89">
        <v>1418132.62</v>
      </c>
      <c r="D2459" s="89" t="s">
        <v>670</v>
      </c>
    </row>
    <row r="2460" spans="1:4" x14ac:dyDescent="0.25">
      <c r="A2460" s="89" t="s">
        <v>44</v>
      </c>
      <c r="B2460" s="89" t="s">
        <v>637</v>
      </c>
      <c r="C2460" s="89">
        <v>1907000</v>
      </c>
      <c r="D2460" s="89" t="s">
        <v>663</v>
      </c>
    </row>
    <row r="2461" spans="1:4" x14ac:dyDescent="0.25">
      <c r="A2461" s="89" t="s">
        <v>44</v>
      </c>
      <c r="B2461" s="89" t="s">
        <v>637</v>
      </c>
      <c r="C2461" s="89">
        <v>397000</v>
      </c>
      <c r="D2461" s="89" t="s">
        <v>666</v>
      </c>
    </row>
    <row r="2462" spans="1:4" x14ac:dyDescent="0.25">
      <c r="A2462" s="89" t="s">
        <v>44</v>
      </c>
      <c r="B2462" s="89" t="s">
        <v>637</v>
      </c>
      <c r="C2462" s="89">
        <v>827493</v>
      </c>
      <c r="D2462" s="89" t="s">
        <v>663</v>
      </c>
    </row>
    <row r="2463" spans="1:4" x14ac:dyDescent="0.25">
      <c r="A2463" s="89" t="s">
        <v>44</v>
      </c>
      <c r="B2463" s="89" t="s">
        <v>637</v>
      </c>
      <c r="C2463" s="89">
        <v>175000</v>
      </c>
      <c r="D2463" s="89" t="s">
        <v>666</v>
      </c>
    </row>
    <row r="2464" spans="1:4" x14ac:dyDescent="0.25">
      <c r="A2464" s="89" t="s">
        <v>44</v>
      </c>
      <c r="B2464" s="89" t="s">
        <v>637</v>
      </c>
      <c r="C2464" s="89">
        <v>1600000</v>
      </c>
      <c r="D2464" s="89" t="s">
        <v>666</v>
      </c>
    </row>
    <row r="2465" spans="1:4" x14ac:dyDescent="0.25">
      <c r="A2465" s="89" t="s">
        <v>44</v>
      </c>
      <c r="B2465" s="89" t="s">
        <v>637</v>
      </c>
      <c r="C2465" s="89">
        <v>856717</v>
      </c>
      <c r="D2465" s="89" t="s">
        <v>664</v>
      </c>
    </row>
    <row r="2466" spans="1:4" x14ac:dyDescent="0.25">
      <c r="A2466" s="89" t="s">
        <v>44</v>
      </c>
      <c r="B2466" s="89" t="s">
        <v>637</v>
      </c>
      <c r="C2466" s="89">
        <v>509094</v>
      </c>
      <c r="D2466" s="89" t="s">
        <v>663</v>
      </c>
    </row>
    <row r="2467" spans="1:4" x14ac:dyDescent="0.25">
      <c r="A2467" s="89" t="s">
        <v>44</v>
      </c>
      <c r="B2467" s="89" t="s">
        <v>637</v>
      </c>
      <c r="C2467" s="89">
        <v>251000</v>
      </c>
      <c r="D2467" s="89" t="s">
        <v>666</v>
      </c>
    </row>
    <row r="2468" spans="1:4" x14ac:dyDescent="0.25">
      <c r="A2468" s="89" t="s">
        <v>44</v>
      </c>
      <c r="B2468" s="89" t="s">
        <v>637</v>
      </c>
      <c r="C2468" s="89">
        <v>2859000</v>
      </c>
      <c r="D2468" s="89" t="s">
        <v>663</v>
      </c>
    </row>
    <row r="2469" spans="1:4" x14ac:dyDescent="0.25">
      <c r="A2469" s="89" t="s">
        <v>44</v>
      </c>
      <c r="B2469" s="89" t="s">
        <v>637</v>
      </c>
      <c r="C2469" s="89">
        <v>3535000</v>
      </c>
      <c r="D2469" s="89" t="s">
        <v>663</v>
      </c>
    </row>
    <row r="2470" spans="1:4" x14ac:dyDescent="0.25">
      <c r="A2470" s="89" t="s">
        <v>44</v>
      </c>
      <c r="B2470" s="89" t="s">
        <v>637</v>
      </c>
      <c r="C2470" s="89">
        <v>1810000</v>
      </c>
      <c r="D2470" s="89" t="s">
        <v>666</v>
      </c>
    </row>
    <row r="2471" spans="1:4" x14ac:dyDescent="0.25">
      <c r="A2471" s="89" t="s">
        <v>44</v>
      </c>
      <c r="B2471" s="89" t="s">
        <v>637</v>
      </c>
      <c r="C2471" s="89">
        <v>1862000</v>
      </c>
      <c r="D2471" s="89" t="s">
        <v>666</v>
      </c>
    </row>
    <row r="2472" spans="1:4" x14ac:dyDescent="0.25">
      <c r="A2472" s="89" t="s">
        <v>44</v>
      </c>
      <c r="B2472" s="89" t="s">
        <v>637</v>
      </c>
      <c r="C2472" s="89">
        <v>3592923</v>
      </c>
      <c r="D2472" s="89" t="s">
        <v>666</v>
      </c>
    </row>
    <row r="2473" spans="1:4" x14ac:dyDescent="0.25">
      <c r="A2473" s="89" t="s">
        <v>44</v>
      </c>
      <c r="B2473" s="89" t="s">
        <v>637</v>
      </c>
      <c r="C2473" s="89">
        <v>541481</v>
      </c>
      <c r="D2473" s="89" t="s">
        <v>663</v>
      </c>
    </row>
    <row r="2474" spans="1:4" x14ac:dyDescent="0.25">
      <c r="A2474" s="89" t="s">
        <v>44</v>
      </c>
      <c r="B2474" s="89" t="s">
        <v>637</v>
      </c>
      <c r="C2474" s="89">
        <v>4095450</v>
      </c>
      <c r="D2474" s="89" t="s">
        <v>666</v>
      </c>
    </row>
    <row r="2475" spans="1:4" x14ac:dyDescent="0.25">
      <c r="A2475" s="89" t="s">
        <v>44</v>
      </c>
      <c r="B2475" s="89" t="s">
        <v>637</v>
      </c>
      <c r="C2475" s="89">
        <v>1746150</v>
      </c>
      <c r="D2475" s="89" t="s">
        <v>663</v>
      </c>
    </row>
    <row r="2476" spans="1:4" x14ac:dyDescent="0.25">
      <c r="A2476" s="89" t="s">
        <v>44</v>
      </c>
      <c r="B2476" s="89" t="s">
        <v>637</v>
      </c>
      <c r="C2476" s="89">
        <v>24234453</v>
      </c>
      <c r="D2476" s="89" t="s">
        <v>663</v>
      </c>
    </row>
    <row r="2477" spans="1:4" x14ac:dyDescent="0.25">
      <c r="A2477" s="89" t="s">
        <v>44</v>
      </c>
      <c r="B2477" s="89" t="s">
        <v>637</v>
      </c>
      <c r="C2477" s="89">
        <v>1378800</v>
      </c>
      <c r="D2477" s="89" t="s">
        <v>663</v>
      </c>
    </row>
    <row r="2478" spans="1:4" x14ac:dyDescent="0.25">
      <c r="A2478" s="89" t="s">
        <v>44</v>
      </c>
      <c r="B2478" s="89" t="s">
        <v>637</v>
      </c>
      <c r="C2478" s="89">
        <v>17233198.329999998</v>
      </c>
      <c r="D2478" s="89" t="s">
        <v>666</v>
      </c>
    </row>
    <row r="2479" spans="1:4" x14ac:dyDescent="0.25">
      <c r="A2479" s="89" t="s">
        <v>44</v>
      </c>
      <c r="B2479" s="89" t="s">
        <v>637</v>
      </c>
      <c r="C2479" s="89">
        <v>2416875</v>
      </c>
      <c r="D2479" s="89" t="s">
        <v>663</v>
      </c>
    </row>
    <row r="2480" spans="1:4" x14ac:dyDescent="0.25">
      <c r="A2480" s="89" t="s">
        <v>44</v>
      </c>
      <c r="B2480" s="89" t="s">
        <v>637</v>
      </c>
      <c r="C2480" s="89">
        <v>50000</v>
      </c>
      <c r="D2480" s="89" t="s">
        <v>666</v>
      </c>
    </row>
    <row r="2481" spans="1:4" x14ac:dyDescent="0.25">
      <c r="A2481" s="89" t="s">
        <v>44</v>
      </c>
      <c r="B2481" s="89" t="s">
        <v>637</v>
      </c>
      <c r="C2481" s="89">
        <v>200221.83</v>
      </c>
      <c r="D2481" s="89" t="s">
        <v>666</v>
      </c>
    </row>
    <row r="2482" spans="1:4" x14ac:dyDescent="0.25">
      <c r="A2482" s="89" t="s">
        <v>44</v>
      </c>
      <c r="B2482" s="89" t="s">
        <v>637</v>
      </c>
      <c r="C2482" s="89">
        <v>1864960</v>
      </c>
      <c r="D2482" s="89" t="s">
        <v>663</v>
      </c>
    </row>
    <row r="2483" spans="1:4" x14ac:dyDescent="0.25">
      <c r="A2483" s="89" t="s">
        <v>44</v>
      </c>
      <c r="B2483" s="89" t="s">
        <v>637</v>
      </c>
      <c r="C2483" s="89">
        <v>13663233</v>
      </c>
      <c r="D2483" s="89" t="s">
        <v>663</v>
      </c>
    </row>
    <row r="2484" spans="1:4" x14ac:dyDescent="0.25">
      <c r="A2484" s="89" t="s">
        <v>44</v>
      </c>
      <c r="B2484" s="89" t="s">
        <v>637</v>
      </c>
      <c r="C2484" s="89">
        <v>42395481</v>
      </c>
      <c r="D2484" s="89" t="s">
        <v>663</v>
      </c>
    </row>
    <row r="2485" spans="1:4" x14ac:dyDescent="0.25">
      <c r="A2485" s="89" t="s">
        <v>44</v>
      </c>
      <c r="B2485" s="89" t="s">
        <v>637</v>
      </c>
      <c r="C2485" s="89">
        <v>813685</v>
      </c>
      <c r="D2485" s="89" t="s">
        <v>663</v>
      </c>
    </row>
    <row r="2486" spans="1:4" x14ac:dyDescent="0.25">
      <c r="A2486" s="89" t="s">
        <v>44</v>
      </c>
      <c r="B2486" s="89" t="s">
        <v>637</v>
      </c>
      <c r="C2486" s="89">
        <v>2519747</v>
      </c>
      <c r="D2486" s="89" t="s">
        <v>666</v>
      </c>
    </row>
    <row r="2487" spans="1:4" x14ac:dyDescent="0.25">
      <c r="A2487" s="89" t="s">
        <v>44</v>
      </c>
      <c r="B2487" s="89" t="s">
        <v>637</v>
      </c>
      <c r="C2487" s="89">
        <v>411790</v>
      </c>
      <c r="D2487" s="89" t="s">
        <v>663</v>
      </c>
    </row>
    <row r="2488" spans="1:4" x14ac:dyDescent="0.25">
      <c r="A2488" s="89" t="s">
        <v>44</v>
      </c>
      <c r="B2488" s="89" t="s">
        <v>637</v>
      </c>
      <c r="C2488" s="89">
        <v>1216642</v>
      </c>
      <c r="D2488" s="89" t="s">
        <v>663</v>
      </c>
    </row>
    <row r="2489" spans="1:4" x14ac:dyDescent="0.25">
      <c r="A2489" s="89" t="s">
        <v>44</v>
      </c>
      <c r="B2489" s="89" t="s">
        <v>637</v>
      </c>
      <c r="C2489" s="89">
        <v>852756</v>
      </c>
      <c r="D2489" s="89" t="s">
        <v>666</v>
      </c>
    </row>
    <row r="2490" spans="1:4" x14ac:dyDescent="0.25">
      <c r="A2490" s="89" t="s">
        <v>44</v>
      </c>
      <c r="B2490" s="89" t="s">
        <v>637</v>
      </c>
      <c r="C2490" s="89">
        <v>1704550</v>
      </c>
      <c r="D2490" s="89" t="s">
        <v>663</v>
      </c>
    </row>
    <row r="2491" spans="1:4" x14ac:dyDescent="0.25">
      <c r="A2491" s="89" t="s">
        <v>44</v>
      </c>
      <c r="B2491" s="89" t="s">
        <v>637</v>
      </c>
      <c r="C2491" s="89">
        <v>17421431</v>
      </c>
      <c r="D2491" s="89" t="s">
        <v>663</v>
      </c>
    </row>
    <row r="2492" spans="1:4" x14ac:dyDescent="0.25">
      <c r="A2492" s="89" t="s">
        <v>44</v>
      </c>
      <c r="B2492" s="89" t="s">
        <v>637</v>
      </c>
      <c r="C2492" s="89">
        <v>1581465.9</v>
      </c>
      <c r="D2492" s="89" t="s">
        <v>670</v>
      </c>
    </row>
    <row r="2493" spans="1:4" x14ac:dyDescent="0.25">
      <c r="A2493" s="89" t="s">
        <v>44</v>
      </c>
      <c r="B2493" s="89" t="s">
        <v>637</v>
      </c>
      <c r="C2493" s="89">
        <v>35532.730000000003</v>
      </c>
      <c r="D2493" s="89" t="s">
        <v>666</v>
      </c>
    </row>
    <row r="2494" spans="1:4" x14ac:dyDescent="0.25">
      <c r="A2494" s="89" t="s">
        <v>44</v>
      </c>
      <c r="B2494" s="89" t="s">
        <v>637</v>
      </c>
      <c r="C2494" s="89">
        <v>3231084</v>
      </c>
      <c r="D2494" s="89" t="s">
        <v>663</v>
      </c>
    </row>
    <row r="2495" spans="1:4" x14ac:dyDescent="0.25">
      <c r="A2495" s="89" t="s">
        <v>44</v>
      </c>
      <c r="B2495" s="89" t="s">
        <v>637</v>
      </c>
      <c r="C2495" s="89">
        <v>1075609</v>
      </c>
      <c r="D2495" s="89" t="s">
        <v>663</v>
      </c>
    </row>
    <row r="2496" spans="1:4" x14ac:dyDescent="0.25">
      <c r="A2496" s="89" t="s">
        <v>44</v>
      </c>
      <c r="B2496" s="89" t="s">
        <v>637</v>
      </c>
      <c r="C2496" s="89">
        <v>550758.6</v>
      </c>
      <c r="D2496" s="89" t="s">
        <v>666</v>
      </c>
    </row>
    <row r="2497" spans="1:4" x14ac:dyDescent="0.25">
      <c r="A2497" s="89" t="s">
        <v>44</v>
      </c>
      <c r="B2497" s="89" t="s">
        <v>637</v>
      </c>
      <c r="C2497" s="89">
        <v>1285319</v>
      </c>
      <c r="D2497" s="89" t="s">
        <v>663</v>
      </c>
    </row>
    <row r="2498" spans="1:4" x14ac:dyDescent="0.25">
      <c r="A2498" s="89" t="s">
        <v>44</v>
      </c>
      <c r="B2498" s="89" t="s">
        <v>637</v>
      </c>
      <c r="C2498" s="89">
        <v>19520044</v>
      </c>
      <c r="D2498" s="89" t="s">
        <v>663</v>
      </c>
    </row>
    <row r="2499" spans="1:4" x14ac:dyDescent="0.25">
      <c r="A2499" s="89" t="s">
        <v>44</v>
      </c>
      <c r="B2499" s="89" t="s">
        <v>637</v>
      </c>
      <c r="C2499" s="89">
        <v>50000</v>
      </c>
      <c r="D2499" s="89" t="s">
        <v>666</v>
      </c>
    </row>
    <row r="2500" spans="1:4" x14ac:dyDescent="0.25">
      <c r="A2500" s="89" t="s">
        <v>44</v>
      </c>
      <c r="B2500" s="89" t="s">
        <v>637</v>
      </c>
      <c r="C2500" s="89">
        <v>2517085</v>
      </c>
      <c r="D2500" s="89" t="s">
        <v>663</v>
      </c>
    </row>
    <row r="2501" spans="1:4" x14ac:dyDescent="0.25">
      <c r="A2501" s="89" t="s">
        <v>44</v>
      </c>
      <c r="B2501" s="89" t="s">
        <v>637</v>
      </c>
      <c r="C2501" s="89">
        <v>4661348.21</v>
      </c>
      <c r="D2501" s="89" t="s">
        <v>663</v>
      </c>
    </row>
    <row r="2502" spans="1:4" x14ac:dyDescent="0.25">
      <c r="A2502" s="89" t="s">
        <v>44</v>
      </c>
      <c r="B2502" s="89" t="s">
        <v>637</v>
      </c>
      <c r="C2502" s="89">
        <v>1567136</v>
      </c>
      <c r="D2502" s="89" t="s">
        <v>663</v>
      </c>
    </row>
    <row r="2503" spans="1:4" x14ac:dyDescent="0.25">
      <c r="A2503" s="89" t="s">
        <v>44</v>
      </c>
      <c r="B2503" s="89" t="s">
        <v>637</v>
      </c>
      <c r="C2503" s="89">
        <v>16731833</v>
      </c>
      <c r="D2503" s="89" t="s">
        <v>663</v>
      </c>
    </row>
    <row r="2504" spans="1:4" x14ac:dyDescent="0.25">
      <c r="A2504" s="89" t="s">
        <v>44</v>
      </c>
      <c r="B2504" s="89" t="s">
        <v>637</v>
      </c>
      <c r="C2504" s="89">
        <v>6626751.1600000001</v>
      </c>
      <c r="D2504" s="89" t="s">
        <v>666</v>
      </c>
    </row>
    <row r="2505" spans="1:4" x14ac:dyDescent="0.25">
      <c r="A2505" s="89" t="s">
        <v>44</v>
      </c>
      <c r="B2505" s="89" t="s">
        <v>637</v>
      </c>
      <c r="C2505" s="89">
        <v>2812108</v>
      </c>
      <c r="D2505" s="89" t="s">
        <v>663</v>
      </c>
    </row>
    <row r="2506" spans="1:4" x14ac:dyDescent="0.25">
      <c r="A2506" s="89" t="s">
        <v>44</v>
      </c>
      <c r="B2506" s="89" t="s">
        <v>637</v>
      </c>
      <c r="C2506" s="89">
        <v>50000</v>
      </c>
      <c r="D2506" s="89" t="s">
        <v>666</v>
      </c>
    </row>
    <row r="2507" spans="1:4" x14ac:dyDescent="0.25">
      <c r="A2507" s="89" t="s">
        <v>44</v>
      </c>
      <c r="B2507" s="89" t="s">
        <v>637</v>
      </c>
      <c r="C2507" s="89">
        <v>41117.61</v>
      </c>
      <c r="D2507" s="89" t="s">
        <v>666</v>
      </c>
    </row>
    <row r="2508" spans="1:4" x14ac:dyDescent="0.25">
      <c r="A2508" s="89" t="s">
        <v>44</v>
      </c>
      <c r="B2508" s="89" t="s">
        <v>637</v>
      </c>
      <c r="C2508" s="89">
        <v>2585891</v>
      </c>
      <c r="D2508" s="89" t="s">
        <v>663</v>
      </c>
    </row>
    <row r="2509" spans="1:4" x14ac:dyDescent="0.25">
      <c r="A2509" s="89" t="s">
        <v>44</v>
      </c>
      <c r="B2509" s="89" t="s">
        <v>637</v>
      </c>
      <c r="C2509" s="89">
        <v>2009085</v>
      </c>
      <c r="D2509" s="89" t="s">
        <v>663</v>
      </c>
    </row>
    <row r="2510" spans="1:4" x14ac:dyDescent="0.25">
      <c r="A2510" s="89" t="s">
        <v>44</v>
      </c>
      <c r="B2510" s="89" t="s">
        <v>637</v>
      </c>
      <c r="C2510" s="89">
        <v>1982110</v>
      </c>
      <c r="D2510" s="89" t="s">
        <v>663</v>
      </c>
    </row>
    <row r="2511" spans="1:4" x14ac:dyDescent="0.25">
      <c r="A2511" s="89" t="s">
        <v>44</v>
      </c>
      <c r="B2511" s="89" t="s">
        <v>637</v>
      </c>
      <c r="C2511" s="89">
        <v>49720</v>
      </c>
      <c r="D2511" s="89" t="s">
        <v>666</v>
      </c>
    </row>
    <row r="2512" spans="1:4" x14ac:dyDescent="0.25">
      <c r="A2512" s="89" t="s">
        <v>44</v>
      </c>
      <c r="B2512" s="89" t="s">
        <v>637</v>
      </c>
      <c r="C2512" s="89">
        <v>8519368</v>
      </c>
      <c r="D2512" s="89" t="s">
        <v>664</v>
      </c>
    </row>
    <row r="2513" spans="1:4" x14ac:dyDescent="0.25">
      <c r="A2513" s="89" t="s">
        <v>44</v>
      </c>
      <c r="B2513" s="89" t="s">
        <v>637</v>
      </c>
      <c r="C2513" s="89">
        <v>2750524.02</v>
      </c>
      <c r="D2513" s="89" t="s">
        <v>663</v>
      </c>
    </row>
    <row r="2514" spans="1:4" x14ac:dyDescent="0.25">
      <c r="A2514" s="89" t="s">
        <v>44</v>
      </c>
      <c r="B2514" s="89" t="s">
        <v>637</v>
      </c>
      <c r="C2514" s="89">
        <v>1409615</v>
      </c>
      <c r="D2514" s="89" t="s">
        <v>663</v>
      </c>
    </row>
    <row r="2515" spans="1:4" x14ac:dyDescent="0.25">
      <c r="A2515" s="89" t="s">
        <v>44</v>
      </c>
      <c r="B2515" s="89" t="s">
        <v>637</v>
      </c>
      <c r="C2515" s="89">
        <v>2378796</v>
      </c>
      <c r="D2515" s="89" t="s">
        <v>663</v>
      </c>
    </row>
    <row r="2516" spans="1:4" x14ac:dyDescent="0.25">
      <c r="A2516" s="89" t="s">
        <v>44</v>
      </c>
      <c r="B2516" s="89" t="s">
        <v>637</v>
      </c>
      <c r="C2516" s="89">
        <v>57339841.549999997</v>
      </c>
      <c r="D2516" s="89" t="s">
        <v>663</v>
      </c>
    </row>
    <row r="2517" spans="1:4" x14ac:dyDescent="0.25">
      <c r="A2517" s="89" t="s">
        <v>44</v>
      </c>
      <c r="B2517" s="89" t="s">
        <v>637</v>
      </c>
      <c r="C2517" s="89">
        <v>2972000</v>
      </c>
      <c r="D2517" s="89" t="s">
        <v>663</v>
      </c>
    </row>
    <row r="2518" spans="1:4" x14ac:dyDescent="0.25">
      <c r="A2518" s="89" t="s">
        <v>44</v>
      </c>
      <c r="B2518" s="89" t="s">
        <v>637</v>
      </c>
      <c r="C2518" s="89">
        <v>521259</v>
      </c>
      <c r="D2518" s="89" t="s">
        <v>663</v>
      </c>
    </row>
    <row r="2519" spans="1:4" x14ac:dyDescent="0.25">
      <c r="A2519" s="89" t="s">
        <v>44</v>
      </c>
      <c r="B2519" s="89" t="s">
        <v>637</v>
      </c>
      <c r="C2519" s="89">
        <v>17012500.239999998</v>
      </c>
      <c r="D2519" s="89" t="s">
        <v>663</v>
      </c>
    </row>
    <row r="2520" spans="1:4" x14ac:dyDescent="0.25">
      <c r="A2520" s="89" t="s">
        <v>44</v>
      </c>
      <c r="B2520" s="89" t="s">
        <v>637</v>
      </c>
      <c r="C2520" s="89">
        <v>1021581</v>
      </c>
      <c r="D2520" s="89" t="s">
        <v>666</v>
      </c>
    </row>
    <row r="2521" spans="1:4" x14ac:dyDescent="0.25">
      <c r="A2521" s="89" t="s">
        <v>44</v>
      </c>
      <c r="B2521" s="89" t="s">
        <v>637</v>
      </c>
      <c r="C2521" s="89">
        <v>12562309</v>
      </c>
      <c r="D2521" s="89" t="s">
        <v>664</v>
      </c>
    </row>
    <row r="2522" spans="1:4" x14ac:dyDescent="0.25">
      <c r="A2522" s="89" t="s">
        <v>44</v>
      </c>
      <c r="B2522" s="89" t="s">
        <v>637</v>
      </c>
      <c r="C2522" s="89">
        <v>601911.62</v>
      </c>
      <c r="D2522" s="89" t="s">
        <v>670</v>
      </c>
    </row>
    <row r="2523" spans="1:4" x14ac:dyDescent="0.25">
      <c r="A2523" s="89" t="s">
        <v>44</v>
      </c>
      <c r="B2523" s="89" t="s">
        <v>637</v>
      </c>
      <c r="C2523" s="89">
        <v>337648</v>
      </c>
      <c r="D2523" s="89" t="s">
        <v>663</v>
      </c>
    </row>
    <row r="2524" spans="1:4" x14ac:dyDescent="0.25">
      <c r="A2524" s="89" t="s">
        <v>44</v>
      </c>
      <c r="B2524" s="89" t="s">
        <v>637</v>
      </c>
      <c r="C2524" s="89">
        <v>3998727.06</v>
      </c>
      <c r="D2524" s="89" t="s">
        <v>666</v>
      </c>
    </row>
    <row r="2525" spans="1:4" x14ac:dyDescent="0.25">
      <c r="A2525" s="89" t="s">
        <v>44</v>
      </c>
      <c r="B2525" s="89" t="s">
        <v>637</v>
      </c>
      <c r="C2525" s="89">
        <v>2329176.71</v>
      </c>
      <c r="D2525" s="89" t="s">
        <v>666</v>
      </c>
    </row>
    <row r="2526" spans="1:4" x14ac:dyDescent="0.25">
      <c r="A2526" s="89" t="s">
        <v>44</v>
      </c>
      <c r="B2526" s="89" t="s">
        <v>637</v>
      </c>
      <c r="C2526" s="89">
        <v>1451840</v>
      </c>
      <c r="D2526" s="89" t="s">
        <v>666</v>
      </c>
    </row>
    <row r="2527" spans="1:4" x14ac:dyDescent="0.25">
      <c r="A2527" s="89" t="s">
        <v>44</v>
      </c>
      <c r="B2527" s="89" t="s">
        <v>637</v>
      </c>
      <c r="C2527" s="89">
        <v>1537755.87</v>
      </c>
      <c r="D2527" s="89" t="s">
        <v>666</v>
      </c>
    </row>
    <row r="2528" spans="1:4" x14ac:dyDescent="0.25">
      <c r="A2528" s="89" t="s">
        <v>44</v>
      </c>
      <c r="B2528" s="89" t="s">
        <v>637</v>
      </c>
      <c r="C2528" s="89">
        <v>165428</v>
      </c>
      <c r="D2528" s="89" t="s">
        <v>670</v>
      </c>
    </row>
    <row r="2529" spans="1:4" x14ac:dyDescent="0.25">
      <c r="A2529" s="89" t="s">
        <v>44</v>
      </c>
      <c r="B2529" s="89" t="s">
        <v>637</v>
      </c>
      <c r="C2529" s="89">
        <v>1670000</v>
      </c>
      <c r="D2529" s="89" t="s">
        <v>666</v>
      </c>
    </row>
    <row r="2530" spans="1:4" x14ac:dyDescent="0.25">
      <c r="A2530" s="89" t="s">
        <v>44</v>
      </c>
      <c r="B2530" s="89" t="s">
        <v>637</v>
      </c>
      <c r="C2530" s="89">
        <v>1000000</v>
      </c>
      <c r="D2530" s="89" t="s">
        <v>666</v>
      </c>
    </row>
    <row r="2531" spans="1:4" x14ac:dyDescent="0.25">
      <c r="A2531" s="89" t="s">
        <v>44</v>
      </c>
      <c r="B2531" s="89" t="s">
        <v>637</v>
      </c>
      <c r="C2531" s="89">
        <v>11000000</v>
      </c>
      <c r="D2531" s="89" t="s">
        <v>663</v>
      </c>
    </row>
    <row r="2532" spans="1:4" x14ac:dyDescent="0.25">
      <c r="A2532" s="89" t="s">
        <v>44</v>
      </c>
      <c r="B2532" s="89" t="s">
        <v>637</v>
      </c>
      <c r="C2532" s="89">
        <v>2196521</v>
      </c>
      <c r="D2532" s="89" t="s">
        <v>663</v>
      </c>
    </row>
    <row r="2533" spans="1:4" x14ac:dyDescent="0.25">
      <c r="A2533" s="89" t="s">
        <v>44</v>
      </c>
      <c r="B2533" s="89" t="s">
        <v>637</v>
      </c>
      <c r="C2533" s="89">
        <v>3588631.82</v>
      </c>
      <c r="D2533" s="89" t="s">
        <v>666</v>
      </c>
    </row>
    <row r="2534" spans="1:4" x14ac:dyDescent="0.25">
      <c r="A2534" s="89" t="s">
        <v>44</v>
      </c>
      <c r="B2534" s="89" t="s">
        <v>637</v>
      </c>
      <c r="C2534" s="89">
        <v>308886</v>
      </c>
      <c r="D2534" s="89" t="s">
        <v>666</v>
      </c>
    </row>
    <row r="2535" spans="1:4" x14ac:dyDescent="0.25">
      <c r="A2535" s="89" t="s">
        <v>44</v>
      </c>
      <c r="B2535" s="89" t="s">
        <v>637</v>
      </c>
      <c r="C2535" s="89">
        <v>50000</v>
      </c>
      <c r="D2535" s="89" t="s">
        <v>666</v>
      </c>
    </row>
    <row r="2536" spans="1:4" x14ac:dyDescent="0.25">
      <c r="A2536" s="89" t="s">
        <v>44</v>
      </c>
      <c r="B2536" s="89" t="s">
        <v>637</v>
      </c>
      <c r="C2536" s="89">
        <v>66024.179999999993</v>
      </c>
      <c r="D2536" s="89" t="s">
        <v>666</v>
      </c>
    </row>
    <row r="2537" spans="1:4" x14ac:dyDescent="0.25">
      <c r="A2537" s="89" t="s">
        <v>44</v>
      </c>
      <c r="B2537" s="89" t="s">
        <v>637</v>
      </c>
      <c r="C2537" s="89">
        <v>3215710.86</v>
      </c>
      <c r="D2537" s="89" t="s">
        <v>663</v>
      </c>
    </row>
    <row r="2538" spans="1:4" x14ac:dyDescent="0.25">
      <c r="A2538" s="89" t="s">
        <v>44</v>
      </c>
      <c r="B2538" s="89" t="s">
        <v>637</v>
      </c>
      <c r="C2538" s="89">
        <v>3065926</v>
      </c>
      <c r="D2538" s="89" t="s">
        <v>663</v>
      </c>
    </row>
    <row r="2539" spans="1:4" x14ac:dyDescent="0.25">
      <c r="A2539" s="89" t="s">
        <v>44</v>
      </c>
      <c r="B2539" s="89" t="s">
        <v>637</v>
      </c>
      <c r="C2539" s="89">
        <v>23261516</v>
      </c>
      <c r="D2539" s="89" t="s">
        <v>663</v>
      </c>
    </row>
    <row r="2540" spans="1:4" x14ac:dyDescent="0.25">
      <c r="A2540" s="89" t="s">
        <v>44</v>
      </c>
      <c r="B2540" s="89" t="s">
        <v>637</v>
      </c>
      <c r="C2540" s="89">
        <v>449334</v>
      </c>
      <c r="D2540" s="89" t="s">
        <v>663</v>
      </c>
    </row>
    <row r="2541" spans="1:4" x14ac:dyDescent="0.25">
      <c r="A2541" s="89" t="s">
        <v>44</v>
      </c>
      <c r="B2541" s="89" t="s">
        <v>637</v>
      </c>
      <c r="C2541" s="89">
        <v>14836314</v>
      </c>
      <c r="D2541" s="89" t="s">
        <v>663</v>
      </c>
    </row>
    <row r="2542" spans="1:4" x14ac:dyDescent="0.25">
      <c r="A2542" s="89" t="s">
        <v>44</v>
      </c>
      <c r="B2542" s="89" t="s">
        <v>637</v>
      </c>
      <c r="C2542" s="89">
        <v>7071620.46</v>
      </c>
      <c r="D2542" s="89" t="s">
        <v>670</v>
      </c>
    </row>
    <row r="2543" spans="1:4" x14ac:dyDescent="0.25">
      <c r="A2543" s="89" t="s">
        <v>44</v>
      </c>
      <c r="B2543" s="89" t="s">
        <v>637</v>
      </c>
      <c r="C2543" s="89">
        <v>147022</v>
      </c>
      <c r="D2543" s="89" t="s">
        <v>666</v>
      </c>
    </row>
    <row r="2544" spans="1:4" x14ac:dyDescent="0.25">
      <c r="A2544" s="89" t="s">
        <v>44</v>
      </c>
      <c r="B2544" s="89" t="s">
        <v>637</v>
      </c>
      <c r="C2544" s="89">
        <v>1953537</v>
      </c>
      <c r="D2544" s="89" t="s">
        <v>663</v>
      </c>
    </row>
    <row r="2545" spans="1:4" x14ac:dyDescent="0.25">
      <c r="A2545" s="89" t="s">
        <v>44</v>
      </c>
      <c r="B2545" s="89" t="s">
        <v>637</v>
      </c>
      <c r="C2545" s="89">
        <v>2337821</v>
      </c>
      <c r="D2545" s="89" t="s">
        <v>663</v>
      </c>
    </row>
    <row r="2546" spans="1:4" x14ac:dyDescent="0.25">
      <c r="A2546" s="89" t="s">
        <v>44</v>
      </c>
      <c r="B2546" s="89" t="s">
        <v>637</v>
      </c>
      <c r="C2546" s="89">
        <v>1202688.8999999999</v>
      </c>
      <c r="D2546" s="89" t="s">
        <v>666</v>
      </c>
    </row>
    <row r="2547" spans="1:4" x14ac:dyDescent="0.25">
      <c r="A2547" s="89" t="s">
        <v>44</v>
      </c>
      <c r="B2547" s="89" t="s">
        <v>637</v>
      </c>
      <c r="C2547" s="89">
        <v>1263559</v>
      </c>
      <c r="D2547" s="89" t="s">
        <v>663</v>
      </c>
    </row>
    <row r="2548" spans="1:4" x14ac:dyDescent="0.25">
      <c r="A2548" s="89" t="s">
        <v>44</v>
      </c>
      <c r="B2548" s="89" t="s">
        <v>637</v>
      </c>
      <c r="C2548" s="89">
        <v>534053</v>
      </c>
      <c r="D2548" s="89" t="s">
        <v>666</v>
      </c>
    </row>
    <row r="2549" spans="1:4" x14ac:dyDescent="0.25">
      <c r="A2549" s="89" t="s">
        <v>44</v>
      </c>
      <c r="B2549" s="89" t="s">
        <v>637</v>
      </c>
      <c r="C2549" s="89">
        <v>1512975</v>
      </c>
      <c r="D2549" s="89" t="s">
        <v>664</v>
      </c>
    </row>
    <row r="2550" spans="1:4" x14ac:dyDescent="0.25">
      <c r="A2550" s="89" t="s">
        <v>44</v>
      </c>
      <c r="B2550" s="89" t="s">
        <v>637</v>
      </c>
      <c r="C2550" s="89">
        <v>3337071</v>
      </c>
      <c r="D2550" s="89" t="s">
        <v>666</v>
      </c>
    </row>
    <row r="2551" spans="1:4" x14ac:dyDescent="0.25">
      <c r="A2551" s="89" t="s">
        <v>44</v>
      </c>
      <c r="B2551" s="89" t="s">
        <v>637</v>
      </c>
      <c r="C2551" s="89">
        <v>2623527</v>
      </c>
      <c r="D2551" s="89" t="s">
        <v>663</v>
      </c>
    </row>
    <row r="2552" spans="1:4" x14ac:dyDescent="0.25">
      <c r="A2552" s="89" t="s">
        <v>44</v>
      </c>
      <c r="B2552" s="89" t="s">
        <v>637</v>
      </c>
      <c r="C2552" s="89">
        <v>524137</v>
      </c>
      <c r="D2552" s="89" t="s">
        <v>663</v>
      </c>
    </row>
    <row r="2553" spans="1:4" x14ac:dyDescent="0.25">
      <c r="A2553" s="89" t="s">
        <v>44</v>
      </c>
      <c r="B2553" s="89" t="s">
        <v>637</v>
      </c>
      <c r="C2553" s="89">
        <v>24809000</v>
      </c>
      <c r="D2553" s="89" t="s">
        <v>663</v>
      </c>
    </row>
    <row r="2554" spans="1:4" x14ac:dyDescent="0.25">
      <c r="A2554" s="89" t="s">
        <v>44</v>
      </c>
      <c r="B2554" s="89" t="s">
        <v>637</v>
      </c>
      <c r="C2554" s="89">
        <v>33936405</v>
      </c>
      <c r="D2554" s="89" t="s">
        <v>664</v>
      </c>
    </row>
    <row r="2555" spans="1:4" x14ac:dyDescent="0.25">
      <c r="A2555" s="89" t="s">
        <v>44</v>
      </c>
      <c r="B2555" s="89" t="s">
        <v>637</v>
      </c>
      <c r="C2555" s="89">
        <v>350000</v>
      </c>
      <c r="D2555" s="89" t="s">
        <v>664</v>
      </c>
    </row>
    <row r="2556" spans="1:4" x14ac:dyDescent="0.25">
      <c r="A2556" s="89" t="s">
        <v>44</v>
      </c>
      <c r="B2556" s="89" t="s">
        <v>637</v>
      </c>
      <c r="C2556" s="89">
        <v>5320567.82</v>
      </c>
      <c r="D2556" s="89" t="s">
        <v>666</v>
      </c>
    </row>
    <row r="2557" spans="1:4" x14ac:dyDescent="0.25">
      <c r="A2557" s="89" t="s">
        <v>44</v>
      </c>
      <c r="B2557" s="89" t="s">
        <v>637</v>
      </c>
      <c r="C2557" s="89">
        <v>3271250.14</v>
      </c>
      <c r="D2557" s="89" t="s">
        <v>666</v>
      </c>
    </row>
    <row r="2558" spans="1:4" x14ac:dyDescent="0.25">
      <c r="A2558" s="89" t="s">
        <v>44</v>
      </c>
      <c r="B2558" s="89" t="s">
        <v>637</v>
      </c>
      <c r="C2558" s="89">
        <v>2297480.81</v>
      </c>
      <c r="D2558" s="89" t="s">
        <v>666</v>
      </c>
    </row>
    <row r="2559" spans="1:4" x14ac:dyDescent="0.25">
      <c r="A2559" s="89" t="s">
        <v>44</v>
      </c>
      <c r="B2559" s="89" t="s">
        <v>637</v>
      </c>
      <c r="C2559" s="89">
        <v>1339605</v>
      </c>
      <c r="D2559" s="89" t="s">
        <v>663</v>
      </c>
    </row>
    <row r="2560" spans="1:4" x14ac:dyDescent="0.25">
      <c r="A2560" s="89" t="s">
        <v>44</v>
      </c>
      <c r="B2560" s="89" t="s">
        <v>637</v>
      </c>
      <c r="C2560" s="89">
        <v>1317750</v>
      </c>
      <c r="D2560" s="89" t="s">
        <v>663</v>
      </c>
    </row>
    <row r="2561" spans="1:4" x14ac:dyDescent="0.25">
      <c r="A2561" s="89" t="s">
        <v>44</v>
      </c>
      <c r="B2561" s="89" t="s">
        <v>637</v>
      </c>
      <c r="C2561" s="89">
        <v>3392341</v>
      </c>
      <c r="D2561" s="89" t="s">
        <v>663</v>
      </c>
    </row>
    <row r="2562" spans="1:4" x14ac:dyDescent="0.25">
      <c r="A2562" s="89" t="s">
        <v>44</v>
      </c>
      <c r="B2562" s="89" t="s">
        <v>637</v>
      </c>
      <c r="C2562" s="89">
        <v>3202899</v>
      </c>
      <c r="D2562" s="89" t="s">
        <v>666</v>
      </c>
    </row>
    <row r="2563" spans="1:4" x14ac:dyDescent="0.25">
      <c r="A2563" s="89" t="s">
        <v>44</v>
      </c>
      <c r="B2563" s="89" t="s">
        <v>637</v>
      </c>
      <c r="C2563" s="89">
        <v>5314867.47</v>
      </c>
      <c r="D2563" s="89" t="s">
        <v>666</v>
      </c>
    </row>
    <row r="2564" spans="1:4" x14ac:dyDescent="0.25">
      <c r="A2564" s="89" t="s">
        <v>44</v>
      </c>
      <c r="B2564" s="89" t="s">
        <v>637</v>
      </c>
      <c r="C2564" s="89">
        <v>3981213.4</v>
      </c>
      <c r="D2564" s="89" t="s">
        <v>670</v>
      </c>
    </row>
    <row r="2565" spans="1:4" x14ac:dyDescent="0.25">
      <c r="A2565" s="89" t="s">
        <v>44</v>
      </c>
      <c r="B2565" s="89" t="s">
        <v>637</v>
      </c>
      <c r="C2565" s="89">
        <v>5673078</v>
      </c>
      <c r="D2565" s="89" t="s">
        <v>666</v>
      </c>
    </row>
    <row r="2566" spans="1:4" x14ac:dyDescent="0.25">
      <c r="A2566" s="89" t="s">
        <v>44</v>
      </c>
      <c r="B2566" s="89" t="s">
        <v>637</v>
      </c>
      <c r="C2566" s="89">
        <v>21328846</v>
      </c>
      <c r="D2566" s="89" t="s">
        <v>663</v>
      </c>
    </row>
    <row r="2567" spans="1:4" x14ac:dyDescent="0.25">
      <c r="A2567" s="89" t="s">
        <v>44</v>
      </c>
      <c r="B2567" s="89" t="s">
        <v>637</v>
      </c>
      <c r="C2567" s="89">
        <v>1871769</v>
      </c>
      <c r="D2567" s="89" t="s">
        <v>666</v>
      </c>
    </row>
    <row r="2568" spans="1:4" x14ac:dyDescent="0.25">
      <c r="A2568" s="89" t="s">
        <v>44</v>
      </c>
      <c r="B2568" s="89" t="s">
        <v>637</v>
      </c>
      <c r="C2568" s="89">
        <v>16484662</v>
      </c>
      <c r="D2568" s="89" t="s">
        <v>663</v>
      </c>
    </row>
    <row r="2569" spans="1:4" x14ac:dyDescent="0.25">
      <c r="A2569" s="89" t="s">
        <v>44</v>
      </c>
      <c r="B2569" s="89" t="s">
        <v>637</v>
      </c>
      <c r="C2569" s="89">
        <v>3392446</v>
      </c>
      <c r="D2569" s="89" t="s">
        <v>663</v>
      </c>
    </row>
    <row r="2570" spans="1:4" x14ac:dyDescent="0.25">
      <c r="A2570" s="89" t="s">
        <v>44</v>
      </c>
      <c r="B2570" s="89" t="s">
        <v>637</v>
      </c>
      <c r="C2570" s="89">
        <v>872722</v>
      </c>
      <c r="D2570" s="89" t="s">
        <v>663</v>
      </c>
    </row>
    <row r="2571" spans="1:4" x14ac:dyDescent="0.25">
      <c r="A2571" s="89" t="s">
        <v>44</v>
      </c>
      <c r="B2571" s="89" t="s">
        <v>637</v>
      </c>
      <c r="C2571" s="89">
        <v>1150288</v>
      </c>
      <c r="D2571" s="89" t="s">
        <v>663</v>
      </c>
    </row>
    <row r="2572" spans="1:4" x14ac:dyDescent="0.25">
      <c r="A2572" s="89" t="s">
        <v>44</v>
      </c>
      <c r="B2572" s="89" t="s">
        <v>637</v>
      </c>
      <c r="C2572" s="89">
        <v>1631722</v>
      </c>
      <c r="D2572" s="89" t="s">
        <v>663</v>
      </c>
    </row>
    <row r="2573" spans="1:4" x14ac:dyDescent="0.25">
      <c r="A2573" s="89" t="s">
        <v>44</v>
      </c>
      <c r="B2573" s="89" t="s">
        <v>637</v>
      </c>
      <c r="C2573" s="89">
        <v>1830082.96</v>
      </c>
      <c r="D2573" s="89" t="s">
        <v>666</v>
      </c>
    </row>
    <row r="2574" spans="1:4" x14ac:dyDescent="0.25">
      <c r="A2574" s="89" t="s">
        <v>44</v>
      </c>
      <c r="B2574" s="89" t="s">
        <v>637</v>
      </c>
      <c r="C2574" s="89">
        <v>30542935</v>
      </c>
      <c r="D2574" s="89" t="s">
        <v>663</v>
      </c>
    </row>
    <row r="2575" spans="1:4" x14ac:dyDescent="0.25">
      <c r="A2575" s="89" t="s">
        <v>44</v>
      </c>
      <c r="B2575" s="89" t="s">
        <v>637</v>
      </c>
      <c r="C2575" s="89">
        <v>12682320.210000001</v>
      </c>
      <c r="D2575" s="89" t="s">
        <v>666</v>
      </c>
    </row>
    <row r="2576" spans="1:4" x14ac:dyDescent="0.25">
      <c r="A2576" s="89" t="s">
        <v>44</v>
      </c>
      <c r="B2576" s="89" t="s">
        <v>637</v>
      </c>
      <c r="C2576" s="89">
        <v>105083</v>
      </c>
      <c r="D2576" s="89" t="s">
        <v>666</v>
      </c>
    </row>
    <row r="2577" spans="1:4" x14ac:dyDescent="0.25">
      <c r="A2577" s="89" t="s">
        <v>44</v>
      </c>
      <c r="B2577" s="89" t="s">
        <v>637</v>
      </c>
      <c r="C2577" s="89">
        <v>787319</v>
      </c>
      <c r="D2577" s="89" t="s">
        <v>666</v>
      </c>
    </row>
    <row r="2578" spans="1:4" x14ac:dyDescent="0.25">
      <c r="A2578" s="89" t="s">
        <v>44</v>
      </c>
      <c r="B2578" s="89" t="s">
        <v>637</v>
      </c>
      <c r="C2578" s="89">
        <v>2757869</v>
      </c>
      <c r="D2578" s="89" t="s">
        <v>666</v>
      </c>
    </row>
    <row r="2579" spans="1:4" x14ac:dyDescent="0.25">
      <c r="A2579" s="89" t="s">
        <v>44</v>
      </c>
      <c r="B2579" s="89" t="s">
        <v>637</v>
      </c>
      <c r="C2579" s="89">
        <v>4562182</v>
      </c>
      <c r="D2579" s="89" t="s">
        <v>663</v>
      </c>
    </row>
    <row r="2580" spans="1:4" x14ac:dyDescent="0.25">
      <c r="A2580" s="89" t="s">
        <v>44</v>
      </c>
      <c r="B2580" s="89" t="s">
        <v>637</v>
      </c>
      <c r="C2580" s="89">
        <v>979372</v>
      </c>
      <c r="D2580" s="89" t="s">
        <v>663</v>
      </c>
    </row>
    <row r="2581" spans="1:4" x14ac:dyDescent="0.25">
      <c r="A2581" s="89" t="s">
        <v>44</v>
      </c>
      <c r="B2581" s="89" t="s">
        <v>637</v>
      </c>
      <c r="C2581" s="89">
        <v>5147083</v>
      </c>
      <c r="D2581" s="89" t="s">
        <v>666</v>
      </c>
    </row>
    <row r="2582" spans="1:4" x14ac:dyDescent="0.25">
      <c r="A2582" s="89" t="s">
        <v>44</v>
      </c>
      <c r="B2582" s="89" t="s">
        <v>637</v>
      </c>
      <c r="C2582" s="89">
        <v>908541</v>
      </c>
      <c r="D2582" s="89" t="s">
        <v>666</v>
      </c>
    </row>
    <row r="2583" spans="1:4" x14ac:dyDescent="0.25">
      <c r="A2583" s="89" t="s">
        <v>44</v>
      </c>
      <c r="B2583" s="89" t="s">
        <v>637</v>
      </c>
      <c r="C2583" s="89">
        <v>1524725</v>
      </c>
      <c r="D2583" s="89" t="s">
        <v>663</v>
      </c>
    </row>
    <row r="2584" spans="1:4" x14ac:dyDescent="0.25">
      <c r="A2584" s="89" t="s">
        <v>44</v>
      </c>
      <c r="B2584" s="89" t="s">
        <v>637</v>
      </c>
      <c r="C2584" s="89">
        <v>932686</v>
      </c>
      <c r="D2584" s="89" t="s">
        <v>663</v>
      </c>
    </row>
    <row r="2585" spans="1:4" x14ac:dyDescent="0.25">
      <c r="A2585" s="89" t="s">
        <v>44</v>
      </c>
      <c r="B2585" s="89" t="s">
        <v>637</v>
      </c>
      <c r="C2585" s="89">
        <v>2396044</v>
      </c>
      <c r="D2585" s="89" t="s">
        <v>663</v>
      </c>
    </row>
    <row r="2586" spans="1:4" x14ac:dyDescent="0.25">
      <c r="A2586" s="89" t="s">
        <v>44</v>
      </c>
      <c r="B2586" s="89" t="s">
        <v>637</v>
      </c>
      <c r="C2586" s="89">
        <v>1701722</v>
      </c>
      <c r="D2586" s="89" t="s">
        <v>663</v>
      </c>
    </row>
    <row r="2587" spans="1:4" x14ac:dyDescent="0.25">
      <c r="A2587" s="89" t="s">
        <v>44</v>
      </c>
      <c r="B2587" s="89" t="s">
        <v>637</v>
      </c>
      <c r="C2587" s="89">
        <v>1284598</v>
      </c>
      <c r="D2587" s="89" t="s">
        <v>666</v>
      </c>
    </row>
    <row r="2588" spans="1:4" x14ac:dyDescent="0.25">
      <c r="A2588" s="89" t="s">
        <v>44</v>
      </c>
      <c r="B2588" s="89" t="s">
        <v>637</v>
      </c>
      <c r="C2588" s="89">
        <v>669705</v>
      </c>
      <c r="D2588" s="89" t="s">
        <v>666</v>
      </c>
    </row>
    <row r="2589" spans="1:4" x14ac:dyDescent="0.25">
      <c r="A2589" s="89" t="s">
        <v>44</v>
      </c>
      <c r="B2589" s="89" t="s">
        <v>637</v>
      </c>
      <c r="C2589" s="89">
        <v>183072.86</v>
      </c>
      <c r="D2589" s="89" t="s">
        <v>666</v>
      </c>
    </row>
    <row r="2590" spans="1:4" x14ac:dyDescent="0.25">
      <c r="A2590" s="89" t="s">
        <v>44</v>
      </c>
      <c r="B2590" s="89" t="s">
        <v>637</v>
      </c>
      <c r="C2590" s="89">
        <v>298819</v>
      </c>
      <c r="D2590" s="89" t="s">
        <v>663</v>
      </c>
    </row>
    <row r="2591" spans="1:4" x14ac:dyDescent="0.25">
      <c r="A2591" s="89" t="s">
        <v>44</v>
      </c>
      <c r="B2591" s="89" t="s">
        <v>637</v>
      </c>
      <c r="C2591" s="89">
        <v>286140</v>
      </c>
      <c r="D2591" s="89" t="s">
        <v>663</v>
      </c>
    </row>
    <row r="2592" spans="1:4" x14ac:dyDescent="0.25">
      <c r="A2592" s="89" t="s">
        <v>44</v>
      </c>
      <c r="B2592" s="89" t="s">
        <v>637</v>
      </c>
      <c r="C2592" s="89">
        <v>2342268</v>
      </c>
      <c r="D2592" s="89" t="s">
        <v>663</v>
      </c>
    </row>
    <row r="2593" spans="1:4" x14ac:dyDescent="0.25">
      <c r="A2593" s="89" t="s">
        <v>44</v>
      </c>
      <c r="B2593" s="89" t="s">
        <v>637</v>
      </c>
      <c r="C2593" s="89">
        <v>1579202</v>
      </c>
      <c r="D2593" s="89" t="s">
        <v>663</v>
      </c>
    </row>
    <row r="2594" spans="1:4" x14ac:dyDescent="0.25">
      <c r="A2594" s="89" t="s">
        <v>44</v>
      </c>
      <c r="B2594" s="89" t="s">
        <v>637</v>
      </c>
      <c r="C2594" s="89">
        <v>1749873</v>
      </c>
      <c r="D2594" s="89" t="s">
        <v>663</v>
      </c>
    </row>
    <row r="2595" spans="1:4" x14ac:dyDescent="0.25">
      <c r="A2595" s="89" t="s">
        <v>43</v>
      </c>
      <c r="B2595" s="89" t="s">
        <v>637</v>
      </c>
      <c r="C2595" s="89">
        <v>3655691.69</v>
      </c>
      <c r="D2595" s="89" t="s">
        <v>664</v>
      </c>
    </row>
    <row r="2596" spans="1:4" x14ac:dyDescent="0.25">
      <c r="A2596" s="89" t="s">
        <v>43</v>
      </c>
      <c r="B2596" s="89" t="s">
        <v>637</v>
      </c>
      <c r="C2596" s="89">
        <v>6657033.3799999999</v>
      </c>
      <c r="D2596" s="89" t="s">
        <v>666</v>
      </c>
    </row>
    <row r="2597" spans="1:4" x14ac:dyDescent="0.25">
      <c r="A2597" s="89" t="s">
        <v>43</v>
      </c>
      <c r="B2597" s="89" t="s">
        <v>637</v>
      </c>
      <c r="C2597" s="89">
        <v>7674769</v>
      </c>
      <c r="D2597" s="89" t="s">
        <v>663</v>
      </c>
    </row>
    <row r="2598" spans="1:4" x14ac:dyDescent="0.25">
      <c r="A2598" s="89" t="s">
        <v>43</v>
      </c>
      <c r="B2598" s="89" t="s">
        <v>637</v>
      </c>
      <c r="C2598" s="89">
        <v>8862667</v>
      </c>
      <c r="D2598" s="89" t="s">
        <v>666</v>
      </c>
    </row>
    <row r="2599" spans="1:4" x14ac:dyDescent="0.25">
      <c r="A2599" s="89" t="s">
        <v>43</v>
      </c>
      <c r="B2599" s="89" t="s">
        <v>637</v>
      </c>
      <c r="C2599" s="89">
        <v>600000</v>
      </c>
      <c r="D2599" s="89" t="s">
        <v>663</v>
      </c>
    </row>
    <row r="2600" spans="1:4" x14ac:dyDescent="0.25">
      <c r="A2600" s="89" t="s">
        <v>43</v>
      </c>
      <c r="B2600" s="89" t="s">
        <v>637</v>
      </c>
      <c r="C2600" s="89">
        <v>344123</v>
      </c>
      <c r="D2600" s="89" t="s">
        <v>663</v>
      </c>
    </row>
    <row r="2601" spans="1:4" x14ac:dyDescent="0.25">
      <c r="A2601" s="89" t="s">
        <v>43</v>
      </c>
      <c r="B2601" s="89" t="s">
        <v>637</v>
      </c>
      <c r="C2601" s="89">
        <v>3144384</v>
      </c>
      <c r="D2601" s="89" t="s">
        <v>666</v>
      </c>
    </row>
    <row r="2602" spans="1:4" x14ac:dyDescent="0.25">
      <c r="A2602" s="89" t="s">
        <v>43</v>
      </c>
      <c r="B2602" s="89" t="s">
        <v>637</v>
      </c>
      <c r="C2602" s="89">
        <v>966229</v>
      </c>
      <c r="D2602" s="89" t="s">
        <v>663</v>
      </c>
    </row>
    <row r="2603" spans="1:4" x14ac:dyDescent="0.25">
      <c r="A2603" s="89" t="s">
        <v>43</v>
      </c>
      <c r="B2603" s="89" t="s">
        <v>637</v>
      </c>
      <c r="C2603" s="89">
        <v>3905057</v>
      </c>
      <c r="D2603" s="89" t="s">
        <v>664</v>
      </c>
    </row>
    <row r="2604" spans="1:4" x14ac:dyDescent="0.25">
      <c r="A2604" s="89" t="s">
        <v>43</v>
      </c>
      <c r="B2604" s="89" t="s">
        <v>637</v>
      </c>
      <c r="C2604" s="89">
        <v>197339</v>
      </c>
      <c r="D2604" s="89" t="s">
        <v>663</v>
      </c>
    </row>
    <row r="2605" spans="1:4" x14ac:dyDescent="0.25">
      <c r="A2605" s="89" t="s">
        <v>43</v>
      </c>
      <c r="B2605" s="89" t="s">
        <v>637</v>
      </c>
      <c r="C2605" s="89">
        <v>4556562</v>
      </c>
      <c r="D2605" s="89" t="s">
        <v>664</v>
      </c>
    </row>
    <row r="2606" spans="1:4" x14ac:dyDescent="0.25">
      <c r="A2606" s="89" t="s">
        <v>43</v>
      </c>
      <c r="B2606" s="89" t="s">
        <v>637</v>
      </c>
      <c r="C2606" s="89">
        <v>910067</v>
      </c>
      <c r="D2606" s="89" t="s">
        <v>663</v>
      </c>
    </row>
    <row r="2607" spans="1:4" x14ac:dyDescent="0.25">
      <c r="A2607" s="89" t="s">
        <v>43</v>
      </c>
      <c r="B2607" s="89" t="s">
        <v>637</v>
      </c>
      <c r="C2607" s="89">
        <v>2336949</v>
      </c>
      <c r="D2607" s="89" t="s">
        <v>666</v>
      </c>
    </row>
    <row r="2608" spans="1:4" x14ac:dyDescent="0.25">
      <c r="A2608" s="89" t="s">
        <v>43</v>
      </c>
      <c r="B2608" s="89" t="s">
        <v>637</v>
      </c>
      <c r="C2608" s="89">
        <v>3582867</v>
      </c>
      <c r="D2608" s="89" t="s">
        <v>666</v>
      </c>
    </row>
    <row r="2609" spans="1:4" x14ac:dyDescent="0.25">
      <c r="A2609" s="89" t="s">
        <v>43</v>
      </c>
      <c r="B2609" s="89" t="s">
        <v>637</v>
      </c>
      <c r="C2609" s="89">
        <v>236218</v>
      </c>
      <c r="D2609" s="89" t="s">
        <v>664</v>
      </c>
    </row>
    <row r="2610" spans="1:4" x14ac:dyDescent="0.25">
      <c r="A2610" s="89" t="s">
        <v>43</v>
      </c>
      <c r="B2610" s="89" t="s">
        <v>637</v>
      </c>
      <c r="C2610" s="89">
        <v>5995365.8899999997</v>
      </c>
      <c r="D2610" s="89" t="s">
        <v>663</v>
      </c>
    </row>
    <row r="2611" spans="1:4" x14ac:dyDescent="0.25">
      <c r="A2611" s="89" t="s">
        <v>43</v>
      </c>
      <c r="B2611" s="89" t="s">
        <v>637</v>
      </c>
      <c r="C2611" s="89">
        <v>1238902.04</v>
      </c>
      <c r="D2611" s="89" t="s">
        <v>663</v>
      </c>
    </row>
    <row r="2612" spans="1:4" x14ac:dyDescent="0.25">
      <c r="A2612" s="89" t="s">
        <v>43</v>
      </c>
      <c r="B2612" s="89" t="s">
        <v>637</v>
      </c>
      <c r="C2612" s="89">
        <v>5382399.1500000004</v>
      </c>
      <c r="D2612" s="89" t="s">
        <v>666</v>
      </c>
    </row>
    <row r="2613" spans="1:4" x14ac:dyDescent="0.25">
      <c r="A2613" s="89" t="s">
        <v>43</v>
      </c>
      <c r="B2613" s="89" t="s">
        <v>637</v>
      </c>
      <c r="C2613" s="89">
        <v>-314494.32</v>
      </c>
      <c r="D2613" s="89" t="s">
        <v>663</v>
      </c>
    </row>
    <row r="2614" spans="1:4" x14ac:dyDescent="0.25">
      <c r="A2614" s="89" t="s">
        <v>43</v>
      </c>
      <c r="B2614" s="89" t="s">
        <v>637</v>
      </c>
      <c r="C2614" s="89">
        <v>7414380</v>
      </c>
      <c r="D2614" s="89" t="s">
        <v>666</v>
      </c>
    </row>
    <row r="2615" spans="1:4" x14ac:dyDescent="0.25">
      <c r="A2615" s="89" t="s">
        <v>43</v>
      </c>
      <c r="B2615" s="89" t="s">
        <v>637</v>
      </c>
      <c r="C2615" s="89">
        <v>1980823.19</v>
      </c>
      <c r="D2615" s="89" t="s">
        <v>666</v>
      </c>
    </row>
    <row r="2616" spans="1:4" x14ac:dyDescent="0.25">
      <c r="A2616" s="89" t="s">
        <v>43</v>
      </c>
      <c r="B2616" s="89" t="s">
        <v>637</v>
      </c>
      <c r="C2616" s="89">
        <v>1396034</v>
      </c>
      <c r="D2616" s="89" t="s">
        <v>666</v>
      </c>
    </row>
    <row r="2617" spans="1:4" x14ac:dyDescent="0.25">
      <c r="A2617" s="89" t="s">
        <v>43</v>
      </c>
      <c r="B2617" s="89" t="s">
        <v>637</v>
      </c>
      <c r="C2617" s="89">
        <v>640947</v>
      </c>
      <c r="D2617" s="89" t="s">
        <v>666</v>
      </c>
    </row>
    <row r="2618" spans="1:4" x14ac:dyDescent="0.25">
      <c r="A2618" s="89" t="s">
        <v>43</v>
      </c>
      <c r="B2618" s="89" t="s">
        <v>637</v>
      </c>
      <c r="C2618" s="89">
        <v>3037012.11</v>
      </c>
      <c r="D2618" s="89" t="s">
        <v>664</v>
      </c>
    </row>
    <row r="2619" spans="1:4" x14ac:dyDescent="0.25">
      <c r="A2619" s="89" t="s">
        <v>43</v>
      </c>
      <c r="B2619" s="89" t="s">
        <v>637</v>
      </c>
      <c r="C2619" s="89">
        <v>14346089.859999999</v>
      </c>
      <c r="D2619" s="89" t="s">
        <v>664</v>
      </c>
    </row>
    <row r="2620" spans="1:4" x14ac:dyDescent="0.25">
      <c r="A2620" s="89" t="s">
        <v>43</v>
      </c>
      <c r="B2620" s="89" t="s">
        <v>637</v>
      </c>
      <c r="C2620" s="89">
        <v>8335988.2699999996</v>
      </c>
      <c r="D2620" s="89" t="s">
        <v>666</v>
      </c>
    </row>
    <row r="2621" spans="1:4" x14ac:dyDescent="0.25">
      <c r="A2621" s="89" t="s">
        <v>43</v>
      </c>
      <c r="B2621" s="89" t="s">
        <v>637</v>
      </c>
      <c r="C2621" s="89">
        <v>980000</v>
      </c>
      <c r="D2621" s="89" t="s">
        <v>664</v>
      </c>
    </row>
    <row r="2622" spans="1:4" x14ac:dyDescent="0.25">
      <c r="A2622" s="89" t="s">
        <v>43</v>
      </c>
      <c r="B2622" s="89" t="s">
        <v>637</v>
      </c>
      <c r="C2622" s="89">
        <v>49371</v>
      </c>
      <c r="D2622" s="89" t="s">
        <v>664</v>
      </c>
    </row>
    <row r="2623" spans="1:4" x14ac:dyDescent="0.25">
      <c r="A2623" s="89" t="s">
        <v>43</v>
      </c>
      <c r="B2623" s="89" t="s">
        <v>637</v>
      </c>
      <c r="C2623" s="89">
        <v>5232756</v>
      </c>
      <c r="D2623" s="89" t="s">
        <v>664</v>
      </c>
    </row>
    <row r="2624" spans="1:4" x14ac:dyDescent="0.25">
      <c r="A2624" s="89" t="s">
        <v>43</v>
      </c>
      <c r="B2624" s="89" t="s">
        <v>637</v>
      </c>
      <c r="C2624" s="89">
        <v>2972811.68</v>
      </c>
      <c r="D2624" s="89" t="s">
        <v>664</v>
      </c>
    </row>
    <row r="2625" spans="1:4" x14ac:dyDescent="0.25">
      <c r="A2625" s="89" t="s">
        <v>43</v>
      </c>
      <c r="B2625" s="89" t="s">
        <v>637</v>
      </c>
      <c r="C2625" s="89">
        <v>5490501.4900000002</v>
      </c>
      <c r="D2625" s="89" t="s">
        <v>663</v>
      </c>
    </row>
    <row r="2626" spans="1:4" x14ac:dyDescent="0.25">
      <c r="A2626" s="89" t="s">
        <v>43</v>
      </c>
      <c r="B2626" s="89" t="s">
        <v>637</v>
      </c>
      <c r="C2626" s="89">
        <v>9049046.8800000008</v>
      </c>
      <c r="D2626" s="89" t="s">
        <v>664</v>
      </c>
    </row>
    <row r="2627" spans="1:4" x14ac:dyDescent="0.25">
      <c r="A2627" s="89" t="s">
        <v>43</v>
      </c>
      <c r="B2627" s="89" t="s">
        <v>637</v>
      </c>
      <c r="C2627" s="89">
        <v>3000000</v>
      </c>
      <c r="D2627" s="89" t="s">
        <v>666</v>
      </c>
    </row>
    <row r="2628" spans="1:4" x14ac:dyDescent="0.25">
      <c r="A2628" s="89" t="s">
        <v>43</v>
      </c>
      <c r="B2628" s="89" t="s">
        <v>637</v>
      </c>
      <c r="C2628" s="89">
        <v>1148465.33</v>
      </c>
      <c r="D2628" s="89" t="s">
        <v>666</v>
      </c>
    </row>
    <row r="2629" spans="1:4" x14ac:dyDescent="0.25">
      <c r="A2629" s="89" t="s">
        <v>43</v>
      </c>
      <c r="B2629" s="89" t="s">
        <v>637</v>
      </c>
      <c r="C2629" s="89">
        <v>-15714.68</v>
      </c>
      <c r="D2629" s="89" t="s">
        <v>663</v>
      </c>
    </row>
    <row r="2630" spans="1:4" x14ac:dyDescent="0.25">
      <c r="A2630" s="89" t="s">
        <v>43</v>
      </c>
      <c r="B2630" s="89" t="s">
        <v>637</v>
      </c>
      <c r="C2630" s="89">
        <v>1791624</v>
      </c>
      <c r="D2630" s="89" t="s">
        <v>666</v>
      </c>
    </row>
    <row r="2631" spans="1:4" x14ac:dyDescent="0.25">
      <c r="A2631" s="89" t="s">
        <v>43</v>
      </c>
      <c r="B2631" s="89" t="s">
        <v>637</v>
      </c>
      <c r="C2631" s="89">
        <v>1691243</v>
      </c>
      <c r="D2631" s="89" t="s">
        <v>666</v>
      </c>
    </row>
    <row r="2632" spans="1:4" x14ac:dyDescent="0.25">
      <c r="A2632" s="89" t="s">
        <v>43</v>
      </c>
      <c r="B2632" s="89" t="s">
        <v>637</v>
      </c>
      <c r="C2632" s="89">
        <v>6304678</v>
      </c>
      <c r="D2632" s="89" t="s">
        <v>663</v>
      </c>
    </row>
    <row r="2633" spans="1:4" x14ac:dyDescent="0.25">
      <c r="A2633" s="89" t="s">
        <v>43</v>
      </c>
      <c r="B2633" s="89" t="s">
        <v>637</v>
      </c>
      <c r="C2633" s="89">
        <v>1516681.25</v>
      </c>
      <c r="D2633" s="89" t="s">
        <v>663</v>
      </c>
    </row>
    <row r="2634" spans="1:4" x14ac:dyDescent="0.25">
      <c r="A2634" s="89" t="s">
        <v>43</v>
      </c>
      <c r="B2634" s="89" t="s">
        <v>637</v>
      </c>
      <c r="C2634" s="89">
        <v>63225.35</v>
      </c>
      <c r="D2634" s="89" t="s">
        <v>664</v>
      </c>
    </row>
    <row r="2635" spans="1:4" x14ac:dyDescent="0.25">
      <c r="A2635" s="89" t="s">
        <v>43</v>
      </c>
      <c r="B2635" s="89" t="s">
        <v>637</v>
      </c>
      <c r="C2635" s="89">
        <v>164684.54999999999</v>
      </c>
      <c r="D2635" s="89" t="s">
        <v>664</v>
      </c>
    </row>
    <row r="2636" spans="1:4" x14ac:dyDescent="0.25">
      <c r="A2636" s="89" t="s">
        <v>43</v>
      </c>
      <c r="B2636" s="89" t="s">
        <v>637</v>
      </c>
      <c r="C2636" s="89">
        <v>1655661.4</v>
      </c>
      <c r="D2636" s="89" t="s">
        <v>666</v>
      </c>
    </row>
    <row r="2637" spans="1:4" x14ac:dyDescent="0.25">
      <c r="A2637" s="89" t="s">
        <v>43</v>
      </c>
      <c r="B2637" s="89" t="s">
        <v>637</v>
      </c>
      <c r="C2637" s="89">
        <v>11766837.07</v>
      </c>
      <c r="D2637" s="89" t="s">
        <v>664</v>
      </c>
    </row>
    <row r="2638" spans="1:4" x14ac:dyDescent="0.25">
      <c r="A2638" s="89" t="s">
        <v>43</v>
      </c>
      <c r="B2638" s="89" t="s">
        <v>637</v>
      </c>
      <c r="C2638" s="89">
        <v>1518085.06</v>
      </c>
      <c r="D2638" s="89" t="s">
        <v>664</v>
      </c>
    </row>
    <row r="2639" spans="1:4" x14ac:dyDescent="0.25">
      <c r="A2639" s="89" t="s">
        <v>43</v>
      </c>
      <c r="B2639" s="89" t="s">
        <v>637</v>
      </c>
      <c r="C2639" s="89">
        <v>8342372</v>
      </c>
      <c r="D2639" s="89" t="s">
        <v>666</v>
      </c>
    </row>
    <row r="2640" spans="1:4" x14ac:dyDescent="0.25">
      <c r="A2640" s="89" t="s">
        <v>43</v>
      </c>
      <c r="B2640" s="89" t="s">
        <v>637</v>
      </c>
      <c r="C2640" s="89">
        <v>2015225.26</v>
      </c>
      <c r="D2640" s="89" t="s">
        <v>666</v>
      </c>
    </row>
    <row r="2641" spans="1:4" x14ac:dyDescent="0.25">
      <c r="A2641" s="89" t="s">
        <v>43</v>
      </c>
      <c r="B2641" s="89" t="s">
        <v>637</v>
      </c>
      <c r="C2641" s="89">
        <v>2623610.2599999998</v>
      </c>
      <c r="D2641" s="89" t="s">
        <v>663</v>
      </c>
    </row>
    <row r="2642" spans="1:4" x14ac:dyDescent="0.25">
      <c r="A2642" s="89" t="s">
        <v>43</v>
      </c>
      <c r="B2642" s="89" t="s">
        <v>637</v>
      </c>
      <c r="C2642" s="89">
        <v>7313109.6600000001</v>
      </c>
      <c r="D2642" s="89" t="s">
        <v>663</v>
      </c>
    </row>
    <row r="2643" spans="1:4" x14ac:dyDescent="0.25">
      <c r="A2643" s="89" t="s">
        <v>43</v>
      </c>
      <c r="B2643" s="89" t="s">
        <v>637</v>
      </c>
      <c r="C2643" s="89">
        <v>237080.15</v>
      </c>
      <c r="D2643" s="89" t="s">
        <v>664</v>
      </c>
    </row>
    <row r="2644" spans="1:4" x14ac:dyDescent="0.25">
      <c r="A2644" s="89" t="s">
        <v>43</v>
      </c>
      <c r="B2644" s="89" t="s">
        <v>637</v>
      </c>
      <c r="C2644" s="89">
        <v>8249025.1299999999</v>
      </c>
      <c r="D2644" s="89" t="s">
        <v>663</v>
      </c>
    </row>
    <row r="2645" spans="1:4" x14ac:dyDescent="0.25">
      <c r="A2645" s="89" t="s">
        <v>43</v>
      </c>
      <c r="B2645" s="89" t="s">
        <v>637</v>
      </c>
      <c r="C2645" s="89">
        <v>2386743</v>
      </c>
      <c r="D2645" s="89" t="s">
        <v>666</v>
      </c>
    </row>
    <row r="2646" spans="1:4" x14ac:dyDescent="0.25">
      <c r="A2646" s="89" t="s">
        <v>43</v>
      </c>
      <c r="B2646" s="89" t="s">
        <v>637</v>
      </c>
      <c r="C2646" s="89">
        <v>6501429.5999999996</v>
      </c>
      <c r="D2646" s="89" t="s">
        <v>664</v>
      </c>
    </row>
    <row r="2647" spans="1:4" x14ac:dyDescent="0.25">
      <c r="A2647" s="89" t="s">
        <v>43</v>
      </c>
      <c r="B2647" s="89" t="s">
        <v>637</v>
      </c>
      <c r="C2647" s="89">
        <v>1568083</v>
      </c>
      <c r="D2647" s="89" t="s">
        <v>663</v>
      </c>
    </row>
    <row r="2648" spans="1:4" x14ac:dyDescent="0.25">
      <c r="A2648" s="89" t="s">
        <v>43</v>
      </c>
      <c r="B2648" s="89" t="s">
        <v>637</v>
      </c>
      <c r="C2648" s="89">
        <v>361213</v>
      </c>
      <c r="D2648" s="89" t="s">
        <v>664</v>
      </c>
    </row>
    <row r="2649" spans="1:4" x14ac:dyDescent="0.25">
      <c r="A2649" s="89" t="s">
        <v>43</v>
      </c>
      <c r="B2649" s="89" t="s">
        <v>637</v>
      </c>
      <c r="C2649" s="89">
        <v>2150160</v>
      </c>
      <c r="D2649" s="89" t="s">
        <v>666</v>
      </c>
    </row>
    <row r="2650" spans="1:4" x14ac:dyDescent="0.25">
      <c r="A2650" s="89" t="s">
        <v>43</v>
      </c>
      <c r="B2650" s="89" t="s">
        <v>637</v>
      </c>
      <c r="C2650" s="89">
        <v>4051216</v>
      </c>
      <c r="D2650" s="89" t="s">
        <v>666</v>
      </c>
    </row>
    <row r="2651" spans="1:4" x14ac:dyDescent="0.25">
      <c r="A2651" s="89" t="s">
        <v>43</v>
      </c>
      <c r="B2651" s="89" t="s">
        <v>637</v>
      </c>
      <c r="C2651" s="89">
        <v>6143921</v>
      </c>
      <c r="D2651" s="89" t="s">
        <v>666</v>
      </c>
    </row>
    <row r="2652" spans="1:4" x14ac:dyDescent="0.25">
      <c r="A2652" s="89" t="s">
        <v>43</v>
      </c>
      <c r="B2652" s="89" t="s">
        <v>637</v>
      </c>
      <c r="C2652" s="89">
        <v>8123871</v>
      </c>
      <c r="D2652" s="89" t="s">
        <v>663</v>
      </c>
    </row>
    <row r="2653" spans="1:4" x14ac:dyDescent="0.25">
      <c r="A2653" s="89" t="s">
        <v>43</v>
      </c>
      <c r="B2653" s="89" t="s">
        <v>637</v>
      </c>
      <c r="C2653" s="89">
        <v>1910124.52</v>
      </c>
      <c r="D2653" s="89" t="s">
        <v>664</v>
      </c>
    </row>
    <row r="2654" spans="1:4" x14ac:dyDescent="0.25">
      <c r="A2654" s="89" t="s">
        <v>43</v>
      </c>
      <c r="B2654" s="89" t="s">
        <v>637</v>
      </c>
      <c r="C2654" s="89">
        <v>1259910</v>
      </c>
      <c r="D2654" s="89" t="s">
        <v>664</v>
      </c>
    </row>
    <row r="2655" spans="1:4" x14ac:dyDescent="0.25">
      <c r="A2655" s="89" t="s">
        <v>43</v>
      </c>
      <c r="B2655" s="89" t="s">
        <v>637</v>
      </c>
      <c r="C2655" s="89">
        <v>654626</v>
      </c>
      <c r="D2655" s="89" t="s">
        <v>663</v>
      </c>
    </row>
    <row r="2656" spans="1:4" x14ac:dyDescent="0.25">
      <c r="A2656" s="89" t="s">
        <v>43</v>
      </c>
      <c r="B2656" s="89" t="s">
        <v>637</v>
      </c>
      <c r="C2656" s="89">
        <v>750000</v>
      </c>
      <c r="D2656" s="89" t="s">
        <v>666</v>
      </c>
    </row>
    <row r="2657" spans="1:4" x14ac:dyDescent="0.25">
      <c r="A2657" s="89" t="s">
        <v>43</v>
      </c>
      <c r="B2657" s="89" t="s">
        <v>637</v>
      </c>
      <c r="C2657" s="89">
        <v>466979</v>
      </c>
      <c r="D2657" s="89" t="s">
        <v>663</v>
      </c>
    </row>
    <row r="2658" spans="1:4" x14ac:dyDescent="0.25">
      <c r="A2658" s="89" t="s">
        <v>43</v>
      </c>
      <c r="B2658" s="89" t="s">
        <v>637</v>
      </c>
      <c r="C2658" s="89">
        <v>750000</v>
      </c>
      <c r="D2658" s="89" t="s">
        <v>666</v>
      </c>
    </row>
    <row r="2659" spans="1:4" x14ac:dyDescent="0.25">
      <c r="A2659" s="89" t="s">
        <v>43</v>
      </c>
      <c r="B2659" s="89" t="s">
        <v>637</v>
      </c>
      <c r="C2659" s="89">
        <v>1435987</v>
      </c>
      <c r="D2659" s="89" t="s">
        <v>664</v>
      </c>
    </row>
    <row r="2660" spans="1:4" x14ac:dyDescent="0.25">
      <c r="A2660" s="89" t="s">
        <v>43</v>
      </c>
      <c r="B2660" s="89" t="s">
        <v>637</v>
      </c>
      <c r="C2660" s="89">
        <v>936403</v>
      </c>
      <c r="D2660" s="89" t="s">
        <v>663</v>
      </c>
    </row>
    <row r="2661" spans="1:4" x14ac:dyDescent="0.25">
      <c r="A2661" s="89" t="s">
        <v>43</v>
      </c>
      <c r="B2661" s="89" t="s">
        <v>637</v>
      </c>
      <c r="C2661" s="89">
        <v>-105660</v>
      </c>
      <c r="D2661" s="89" t="s">
        <v>666</v>
      </c>
    </row>
    <row r="2662" spans="1:4" x14ac:dyDescent="0.25">
      <c r="A2662" s="89" t="s">
        <v>43</v>
      </c>
      <c r="B2662" s="89" t="s">
        <v>637</v>
      </c>
      <c r="C2662" s="89">
        <v>-1507276.41</v>
      </c>
      <c r="D2662" s="89" t="s">
        <v>664</v>
      </c>
    </row>
    <row r="2663" spans="1:4" x14ac:dyDescent="0.25">
      <c r="A2663" s="89" t="s">
        <v>43</v>
      </c>
      <c r="B2663" s="89" t="s">
        <v>637</v>
      </c>
      <c r="C2663" s="89">
        <v>3108783.25</v>
      </c>
      <c r="D2663" s="89" t="s">
        <v>663</v>
      </c>
    </row>
    <row r="2664" spans="1:4" x14ac:dyDescent="0.25">
      <c r="A2664" s="89" t="s">
        <v>43</v>
      </c>
      <c r="B2664" s="89" t="s">
        <v>637</v>
      </c>
      <c r="C2664" s="89">
        <v>763515.33</v>
      </c>
      <c r="D2664" s="89" t="s">
        <v>664</v>
      </c>
    </row>
    <row r="2665" spans="1:4" x14ac:dyDescent="0.25">
      <c r="A2665" s="89" t="s">
        <v>43</v>
      </c>
      <c r="B2665" s="89" t="s">
        <v>637</v>
      </c>
      <c r="C2665" s="89">
        <v>2307993.15</v>
      </c>
      <c r="D2665" s="89" t="s">
        <v>663</v>
      </c>
    </row>
    <row r="2666" spans="1:4" x14ac:dyDescent="0.25">
      <c r="A2666" s="89" t="s">
        <v>43</v>
      </c>
      <c r="B2666" s="89" t="s">
        <v>637</v>
      </c>
      <c r="C2666" s="89">
        <v>7287714.0499999998</v>
      </c>
      <c r="D2666" s="89" t="s">
        <v>664</v>
      </c>
    </row>
    <row r="2667" spans="1:4" x14ac:dyDescent="0.25">
      <c r="A2667" s="89" t="s">
        <v>43</v>
      </c>
      <c r="B2667" s="89" t="s">
        <v>637</v>
      </c>
      <c r="C2667" s="89">
        <v>9847918.8699999992</v>
      </c>
      <c r="D2667" s="89" t="s">
        <v>664</v>
      </c>
    </row>
    <row r="2668" spans="1:4" x14ac:dyDescent="0.25">
      <c r="A2668" s="89" t="s">
        <v>43</v>
      </c>
      <c r="B2668" s="89" t="s">
        <v>637</v>
      </c>
      <c r="C2668" s="89">
        <v>1107857</v>
      </c>
      <c r="D2668" s="89" t="s">
        <v>664</v>
      </c>
    </row>
    <row r="2669" spans="1:4" x14ac:dyDescent="0.25">
      <c r="A2669" s="89" t="s">
        <v>43</v>
      </c>
      <c r="B2669" s="89" t="s">
        <v>637</v>
      </c>
      <c r="C2669" s="89">
        <v>50000</v>
      </c>
      <c r="D2669" s="89" t="s">
        <v>666</v>
      </c>
    </row>
    <row r="2670" spans="1:4" x14ac:dyDescent="0.25">
      <c r="A2670" s="89" t="s">
        <v>43</v>
      </c>
      <c r="B2670" s="89" t="s">
        <v>637</v>
      </c>
      <c r="C2670" s="89">
        <v>1912186.94</v>
      </c>
      <c r="D2670" s="89" t="s">
        <v>663</v>
      </c>
    </row>
    <row r="2671" spans="1:4" x14ac:dyDescent="0.25">
      <c r="A2671" s="89" t="s">
        <v>43</v>
      </c>
      <c r="B2671" s="89" t="s">
        <v>637</v>
      </c>
      <c r="C2671" s="89">
        <v>1526137</v>
      </c>
      <c r="D2671" s="89" t="s">
        <v>663</v>
      </c>
    </row>
    <row r="2672" spans="1:4" x14ac:dyDescent="0.25">
      <c r="A2672" s="89" t="s">
        <v>43</v>
      </c>
      <c r="B2672" s="89" t="s">
        <v>637</v>
      </c>
      <c r="C2672" s="89">
        <v>761125.14</v>
      </c>
      <c r="D2672" s="89" t="s">
        <v>664</v>
      </c>
    </row>
    <row r="2673" spans="1:4" x14ac:dyDescent="0.25">
      <c r="A2673" s="89" t="s">
        <v>43</v>
      </c>
      <c r="B2673" s="89" t="s">
        <v>637</v>
      </c>
      <c r="C2673" s="89">
        <v>1919478.55</v>
      </c>
      <c r="D2673" s="89" t="s">
        <v>664</v>
      </c>
    </row>
    <row r="2674" spans="1:4" x14ac:dyDescent="0.25">
      <c r="A2674" s="89" t="s">
        <v>43</v>
      </c>
      <c r="B2674" s="89" t="s">
        <v>637</v>
      </c>
      <c r="C2674" s="89">
        <v>169057.92000000001</v>
      </c>
      <c r="D2674" s="89" t="s">
        <v>664</v>
      </c>
    </row>
    <row r="2675" spans="1:4" x14ac:dyDescent="0.25">
      <c r="A2675" s="89" t="s">
        <v>43</v>
      </c>
      <c r="B2675" s="89" t="s">
        <v>637</v>
      </c>
      <c r="C2675" s="89">
        <v>768515</v>
      </c>
      <c r="D2675" s="89" t="s">
        <v>664</v>
      </c>
    </row>
    <row r="2676" spans="1:4" x14ac:dyDescent="0.25">
      <c r="A2676" s="89" t="s">
        <v>43</v>
      </c>
      <c r="B2676" s="89" t="s">
        <v>637</v>
      </c>
      <c r="C2676" s="89">
        <v>6861429.0599999996</v>
      </c>
      <c r="D2676" s="89" t="s">
        <v>666</v>
      </c>
    </row>
    <row r="2677" spans="1:4" x14ac:dyDescent="0.25">
      <c r="A2677" s="89" t="s">
        <v>43</v>
      </c>
      <c r="B2677" s="89" t="s">
        <v>637</v>
      </c>
      <c r="C2677" s="89">
        <v>3052926</v>
      </c>
      <c r="D2677" s="89" t="s">
        <v>666</v>
      </c>
    </row>
    <row r="2678" spans="1:4" x14ac:dyDescent="0.25">
      <c r="A2678" s="89" t="s">
        <v>43</v>
      </c>
      <c r="B2678" s="89" t="s">
        <v>637</v>
      </c>
      <c r="C2678" s="89">
        <v>420057</v>
      </c>
      <c r="D2678" s="89" t="s">
        <v>666</v>
      </c>
    </row>
    <row r="2679" spans="1:4" x14ac:dyDescent="0.25">
      <c r="A2679" s="89" t="s">
        <v>43</v>
      </c>
      <c r="B2679" s="89" t="s">
        <v>637</v>
      </c>
      <c r="C2679" s="89">
        <v>5829993</v>
      </c>
      <c r="D2679" s="89" t="s">
        <v>666</v>
      </c>
    </row>
    <row r="2680" spans="1:4" x14ac:dyDescent="0.25">
      <c r="A2680" s="89" t="s">
        <v>43</v>
      </c>
      <c r="B2680" s="89" t="s">
        <v>637</v>
      </c>
      <c r="C2680" s="89">
        <v>69704.91</v>
      </c>
      <c r="D2680" s="89" t="s">
        <v>664</v>
      </c>
    </row>
    <row r="2681" spans="1:4" x14ac:dyDescent="0.25">
      <c r="A2681" s="89" t="s">
        <v>43</v>
      </c>
      <c r="B2681" s="89" t="s">
        <v>637</v>
      </c>
      <c r="C2681" s="89">
        <v>1745686</v>
      </c>
      <c r="D2681" s="89" t="s">
        <v>666</v>
      </c>
    </row>
    <row r="2682" spans="1:4" x14ac:dyDescent="0.25">
      <c r="A2682" s="89" t="s">
        <v>43</v>
      </c>
      <c r="B2682" s="89" t="s">
        <v>637</v>
      </c>
      <c r="C2682" s="89">
        <v>6851480.6900000004</v>
      </c>
      <c r="D2682" s="89" t="s">
        <v>664</v>
      </c>
    </row>
    <row r="2683" spans="1:4" x14ac:dyDescent="0.25">
      <c r="A2683" s="89" t="s">
        <v>43</v>
      </c>
      <c r="B2683" s="89" t="s">
        <v>637</v>
      </c>
      <c r="C2683" s="89">
        <v>1096342.3799999999</v>
      </c>
      <c r="D2683" s="89" t="s">
        <v>664</v>
      </c>
    </row>
    <row r="2684" spans="1:4" x14ac:dyDescent="0.25">
      <c r="A2684" s="89" t="s">
        <v>43</v>
      </c>
      <c r="B2684" s="89" t="s">
        <v>637</v>
      </c>
      <c r="C2684" s="89">
        <v>2297421</v>
      </c>
      <c r="D2684" s="89" t="s">
        <v>664</v>
      </c>
    </row>
    <row r="2685" spans="1:4" x14ac:dyDescent="0.25">
      <c r="A2685" s="89" t="s">
        <v>43</v>
      </c>
      <c r="B2685" s="89" t="s">
        <v>637</v>
      </c>
      <c r="C2685" s="89">
        <v>889684.37</v>
      </c>
      <c r="D2685" s="89" t="s">
        <v>666</v>
      </c>
    </row>
    <row r="2686" spans="1:4" x14ac:dyDescent="0.25">
      <c r="A2686" s="89" t="s">
        <v>43</v>
      </c>
      <c r="B2686" s="89" t="s">
        <v>637</v>
      </c>
      <c r="C2686" s="89">
        <v>4037690.87</v>
      </c>
      <c r="D2686" s="89" t="s">
        <v>666</v>
      </c>
    </row>
    <row r="2687" spans="1:4" x14ac:dyDescent="0.25">
      <c r="A2687" s="89" t="s">
        <v>43</v>
      </c>
      <c r="B2687" s="89" t="s">
        <v>637</v>
      </c>
      <c r="C2687" s="89">
        <v>3403472.22</v>
      </c>
      <c r="D2687" s="89" t="s">
        <v>664</v>
      </c>
    </row>
    <row r="2688" spans="1:4" x14ac:dyDescent="0.25">
      <c r="A2688" s="89" t="s">
        <v>43</v>
      </c>
      <c r="B2688" s="89" t="s">
        <v>637</v>
      </c>
      <c r="C2688" s="89">
        <v>324250.52</v>
      </c>
      <c r="D2688" s="89" t="s">
        <v>663</v>
      </c>
    </row>
    <row r="2689" spans="1:4" x14ac:dyDescent="0.25">
      <c r="A2689" s="89" t="s">
        <v>43</v>
      </c>
      <c r="B2689" s="89" t="s">
        <v>637</v>
      </c>
      <c r="C2689" s="89">
        <v>1396744.95</v>
      </c>
      <c r="D2689" s="89" t="s">
        <v>664</v>
      </c>
    </row>
    <row r="2690" spans="1:4" x14ac:dyDescent="0.25">
      <c r="A2690" s="89" t="s">
        <v>43</v>
      </c>
      <c r="B2690" s="89" t="s">
        <v>637</v>
      </c>
      <c r="C2690" s="89">
        <v>998962.63</v>
      </c>
      <c r="D2690" s="89" t="s">
        <v>664</v>
      </c>
    </row>
    <row r="2691" spans="1:4" x14ac:dyDescent="0.25">
      <c r="A2691" s="89" t="s">
        <v>43</v>
      </c>
      <c r="B2691" s="89" t="s">
        <v>637</v>
      </c>
      <c r="C2691" s="89">
        <v>6863366</v>
      </c>
      <c r="D2691" s="89" t="s">
        <v>663</v>
      </c>
    </row>
    <row r="2692" spans="1:4" x14ac:dyDescent="0.25">
      <c r="A2692" s="89" t="s">
        <v>43</v>
      </c>
      <c r="B2692" s="89" t="s">
        <v>637</v>
      </c>
      <c r="C2692" s="89">
        <v>921475</v>
      </c>
      <c r="D2692" s="89" t="s">
        <v>663</v>
      </c>
    </row>
    <row r="2693" spans="1:4" x14ac:dyDescent="0.25">
      <c r="A2693" s="89" t="s">
        <v>43</v>
      </c>
      <c r="B2693" s="89" t="s">
        <v>637</v>
      </c>
      <c r="C2693" s="89">
        <v>5032349.37</v>
      </c>
      <c r="D2693" s="89" t="s">
        <v>666</v>
      </c>
    </row>
    <row r="2694" spans="1:4" x14ac:dyDescent="0.25">
      <c r="A2694" s="89" t="s">
        <v>43</v>
      </c>
      <c r="B2694" s="89" t="s">
        <v>637</v>
      </c>
      <c r="C2694" s="89">
        <v>756715.63</v>
      </c>
      <c r="D2694" s="89" t="s">
        <v>666</v>
      </c>
    </row>
    <row r="2695" spans="1:4" x14ac:dyDescent="0.25">
      <c r="A2695" s="89" t="s">
        <v>43</v>
      </c>
      <c r="B2695" s="89" t="s">
        <v>637</v>
      </c>
      <c r="C2695" s="89">
        <v>7289329</v>
      </c>
      <c r="D2695" s="89" t="s">
        <v>664</v>
      </c>
    </row>
    <row r="2696" spans="1:4" x14ac:dyDescent="0.25">
      <c r="A2696" s="89" t="s">
        <v>43</v>
      </c>
      <c r="B2696" s="89" t="s">
        <v>637</v>
      </c>
      <c r="C2696" s="89">
        <v>10442468</v>
      </c>
      <c r="D2696" s="89" t="s">
        <v>663</v>
      </c>
    </row>
    <row r="2697" spans="1:4" x14ac:dyDescent="0.25">
      <c r="A2697" s="89" t="s">
        <v>43</v>
      </c>
      <c r="B2697" s="89" t="s">
        <v>637</v>
      </c>
      <c r="C2697" s="89">
        <v>468447.85</v>
      </c>
      <c r="D2697" s="89" t="s">
        <v>666</v>
      </c>
    </row>
    <row r="2698" spans="1:4" x14ac:dyDescent="0.25">
      <c r="A2698" s="89" t="s">
        <v>43</v>
      </c>
      <c r="B2698" s="89" t="s">
        <v>637</v>
      </c>
      <c r="C2698" s="89">
        <v>100000</v>
      </c>
      <c r="D2698" s="89" t="s">
        <v>666</v>
      </c>
    </row>
    <row r="2699" spans="1:4" x14ac:dyDescent="0.25">
      <c r="A2699" s="89" t="s">
        <v>43</v>
      </c>
      <c r="B2699" s="89" t="s">
        <v>637</v>
      </c>
      <c r="C2699" s="89">
        <v>2121364.65</v>
      </c>
      <c r="D2699" s="89" t="s">
        <v>663</v>
      </c>
    </row>
    <row r="2700" spans="1:4" x14ac:dyDescent="0.25">
      <c r="A2700" s="89" t="s">
        <v>43</v>
      </c>
      <c r="B2700" s="89" t="s">
        <v>637</v>
      </c>
      <c r="C2700" s="89">
        <v>468547.81</v>
      </c>
      <c r="D2700" s="89" t="s">
        <v>663</v>
      </c>
    </row>
    <row r="2701" spans="1:4" x14ac:dyDescent="0.25">
      <c r="A2701" s="89" t="s">
        <v>43</v>
      </c>
      <c r="B2701" s="89" t="s">
        <v>637</v>
      </c>
      <c r="C2701" s="89">
        <v>3546379</v>
      </c>
      <c r="D2701" s="89" t="s">
        <v>664</v>
      </c>
    </row>
    <row r="2702" spans="1:4" x14ac:dyDescent="0.25">
      <c r="A2702" s="89" t="s">
        <v>43</v>
      </c>
      <c r="B2702" s="89" t="s">
        <v>637</v>
      </c>
      <c r="C2702" s="89">
        <v>362959.81</v>
      </c>
      <c r="D2702" s="89" t="s">
        <v>666</v>
      </c>
    </row>
    <row r="2703" spans="1:4" x14ac:dyDescent="0.25">
      <c r="A2703" s="89" t="s">
        <v>43</v>
      </c>
      <c r="B2703" s="89" t="s">
        <v>637</v>
      </c>
      <c r="C2703" s="89">
        <v>4134436</v>
      </c>
      <c r="D2703" s="89" t="s">
        <v>663</v>
      </c>
    </row>
    <row r="2704" spans="1:4" x14ac:dyDescent="0.25">
      <c r="A2704" s="89" t="s">
        <v>43</v>
      </c>
      <c r="B2704" s="89" t="s">
        <v>637</v>
      </c>
      <c r="C2704" s="89">
        <v>788167.93</v>
      </c>
      <c r="D2704" s="89" t="s">
        <v>663</v>
      </c>
    </row>
    <row r="2705" spans="1:4" x14ac:dyDescent="0.25">
      <c r="A2705" s="89" t="s">
        <v>43</v>
      </c>
      <c r="B2705" s="89" t="s">
        <v>637</v>
      </c>
      <c r="C2705" s="89">
        <v>7006943</v>
      </c>
      <c r="D2705" s="89" t="s">
        <v>663</v>
      </c>
    </row>
    <row r="2706" spans="1:4" x14ac:dyDescent="0.25">
      <c r="A2706" s="89" t="s">
        <v>43</v>
      </c>
      <c r="B2706" s="89" t="s">
        <v>637</v>
      </c>
      <c r="C2706" s="89">
        <v>1417554.61</v>
      </c>
      <c r="D2706" s="89" t="s">
        <v>663</v>
      </c>
    </row>
    <row r="2707" spans="1:4" x14ac:dyDescent="0.25">
      <c r="A2707" s="89" t="s">
        <v>43</v>
      </c>
      <c r="B2707" s="89" t="s">
        <v>637</v>
      </c>
      <c r="C2707" s="89">
        <v>1306082.75</v>
      </c>
      <c r="D2707" s="89" t="s">
        <v>666</v>
      </c>
    </row>
    <row r="2708" spans="1:4" x14ac:dyDescent="0.25">
      <c r="A2708" s="89" t="s">
        <v>688</v>
      </c>
      <c r="B2708" s="89" t="s">
        <v>615</v>
      </c>
      <c r="C2708" s="89">
        <v>766101</v>
      </c>
      <c r="D2708" s="89" t="s">
        <v>663</v>
      </c>
    </row>
    <row r="2709" spans="1:4" x14ac:dyDescent="0.25">
      <c r="A2709" s="89" t="s">
        <v>688</v>
      </c>
      <c r="B2709" s="89" t="s">
        <v>615</v>
      </c>
      <c r="C2709" s="89">
        <v>555265</v>
      </c>
      <c r="D2709" s="89" t="s">
        <v>663</v>
      </c>
    </row>
    <row r="2710" spans="1:4" x14ac:dyDescent="0.25">
      <c r="A2710" s="89" t="s">
        <v>688</v>
      </c>
      <c r="B2710" s="89" t="s">
        <v>615</v>
      </c>
      <c r="C2710" s="89">
        <v>713850</v>
      </c>
      <c r="D2710" s="89" t="s">
        <v>663</v>
      </c>
    </row>
    <row r="2711" spans="1:4" x14ac:dyDescent="0.25">
      <c r="A2711" s="89" t="s">
        <v>688</v>
      </c>
      <c r="B2711" s="89" t="s">
        <v>615</v>
      </c>
      <c r="C2711" s="89">
        <v>96466</v>
      </c>
      <c r="D2711" s="89" t="s">
        <v>663</v>
      </c>
    </row>
    <row r="2712" spans="1:4" x14ac:dyDescent="0.25">
      <c r="A2712" s="89" t="s">
        <v>688</v>
      </c>
      <c r="B2712" s="89" t="s">
        <v>615</v>
      </c>
      <c r="C2712" s="89">
        <v>618696.81999999995</v>
      </c>
      <c r="D2712" s="89" t="s">
        <v>663</v>
      </c>
    </row>
    <row r="2713" spans="1:4" x14ac:dyDescent="0.25">
      <c r="A2713" s="89" t="s">
        <v>688</v>
      </c>
      <c r="B2713" s="89" t="s">
        <v>615</v>
      </c>
      <c r="C2713" s="89">
        <v>1387062</v>
      </c>
      <c r="D2713" s="89" t="s">
        <v>663</v>
      </c>
    </row>
    <row r="2714" spans="1:4" x14ac:dyDescent="0.25">
      <c r="A2714" s="89" t="s">
        <v>688</v>
      </c>
      <c r="B2714" s="89" t="s">
        <v>615</v>
      </c>
      <c r="C2714" s="89">
        <v>890885</v>
      </c>
      <c r="D2714" s="89" t="s">
        <v>663</v>
      </c>
    </row>
    <row r="2715" spans="1:4" x14ac:dyDescent="0.25">
      <c r="A2715" s="89" t="s">
        <v>688</v>
      </c>
      <c r="B2715" s="89" t="s">
        <v>615</v>
      </c>
      <c r="C2715" s="89">
        <v>251792.87</v>
      </c>
      <c r="D2715" s="89" t="s">
        <v>664</v>
      </c>
    </row>
    <row r="2716" spans="1:4" x14ac:dyDescent="0.25">
      <c r="A2716" s="89" t="s">
        <v>688</v>
      </c>
      <c r="B2716" s="89" t="s">
        <v>615</v>
      </c>
      <c r="C2716" s="89">
        <v>1318013.02</v>
      </c>
      <c r="D2716" s="89" t="s">
        <v>663</v>
      </c>
    </row>
    <row r="2717" spans="1:4" x14ac:dyDescent="0.25">
      <c r="A2717" s="89" t="s">
        <v>688</v>
      </c>
      <c r="B2717" s="89" t="s">
        <v>615</v>
      </c>
      <c r="C2717" s="89">
        <v>2398348.1</v>
      </c>
      <c r="D2717" s="89" t="s">
        <v>663</v>
      </c>
    </row>
    <row r="2718" spans="1:4" x14ac:dyDescent="0.25">
      <c r="A2718" s="89" t="s">
        <v>688</v>
      </c>
      <c r="B2718" s="89" t="s">
        <v>615</v>
      </c>
      <c r="C2718" s="89">
        <v>2362524.0299999998</v>
      </c>
      <c r="D2718" s="89" t="s">
        <v>663</v>
      </c>
    </row>
    <row r="2719" spans="1:4" x14ac:dyDescent="0.25">
      <c r="A2719" s="89" t="s">
        <v>688</v>
      </c>
      <c r="B2719" s="89" t="s">
        <v>615</v>
      </c>
      <c r="C2719" s="89">
        <v>2485120.87</v>
      </c>
      <c r="D2719" s="89" t="s">
        <v>666</v>
      </c>
    </row>
    <row r="2720" spans="1:4" x14ac:dyDescent="0.25">
      <c r="A2720" s="89" t="s">
        <v>688</v>
      </c>
      <c r="B2720" s="89" t="s">
        <v>615</v>
      </c>
      <c r="C2720" s="89">
        <v>1670911</v>
      </c>
      <c r="D2720" s="89" t="s">
        <v>663</v>
      </c>
    </row>
    <row r="2721" spans="1:4" x14ac:dyDescent="0.25">
      <c r="A2721" s="89" t="s">
        <v>688</v>
      </c>
      <c r="B2721" s="89" t="s">
        <v>615</v>
      </c>
      <c r="C2721" s="89">
        <v>123005.46</v>
      </c>
      <c r="D2721" s="89" t="s">
        <v>664</v>
      </c>
    </row>
    <row r="2722" spans="1:4" x14ac:dyDescent="0.25">
      <c r="A2722" s="89" t="s">
        <v>688</v>
      </c>
      <c r="B2722" s="89" t="s">
        <v>615</v>
      </c>
      <c r="C2722" s="89">
        <v>5565707.75</v>
      </c>
      <c r="D2722" s="89" t="s">
        <v>666</v>
      </c>
    </row>
    <row r="2723" spans="1:4" x14ac:dyDescent="0.25">
      <c r="A2723" s="89" t="s">
        <v>688</v>
      </c>
      <c r="B2723" s="89" t="s">
        <v>615</v>
      </c>
      <c r="C2723" s="89">
        <v>427123.76</v>
      </c>
      <c r="D2723" s="89" t="s">
        <v>663</v>
      </c>
    </row>
    <row r="2724" spans="1:4" x14ac:dyDescent="0.25">
      <c r="A2724" s="89" t="s">
        <v>688</v>
      </c>
      <c r="B2724" s="89" t="s">
        <v>615</v>
      </c>
      <c r="C2724" s="89">
        <v>2797683.34</v>
      </c>
      <c r="D2724" s="89" t="s">
        <v>664</v>
      </c>
    </row>
    <row r="2725" spans="1:4" x14ac:dyDescent="0.25">
      <c r="A2725" s="89" t="s">
        <v>688</v>
      </c>
      <c r="B2725" s="89" t="s">
        <v>615</v>
      </c>
      <c r="C2725" s="89">
        <v>1157969</v>
      </c>
      <c r="D2725" s="89" t="s">
        <v>666</v>
      </c>
    </row>
    <row r="2726" spans="1:4" x14ac:dyDescent="0.25">
      <c r="A2726" s="89" t="s">
        <v>688</v>
      </c>
      <c r="B2726" s="89" t="s">
        <v>615</v>
      </c>
      <c r="C2726" s="89">
        <v>2575548</v>
      </c>
      <c r="D2726" s="89" t="s">
        <v>663</v>
      </c>
    </row>
    <row r="2727" spans="1:4" x14ac:dyDescent="0.25">
      <c r="A2727" s="89" t="s">
        <v>688</v>
      </c>
      <c r="B2727" s="89" t="s">
        <v>615</v>
      </c>
      <c r="C2727" s="89">
        <v>837650.61</v>
      </c>
      <c r="D2727" s="89" t="s">
        <v>663</v>
      </c>
    </row>
    <row r="2728" spans="1:4" x14ac:dyDescent="0.25">
      <c r="A2728" s="89" t="s">
        <v>688</v>
      </c>
      <c r="B2728" s="89" t="s">
        <v>615</v>
      </c>
      <c r="C2728" s="89">
        <v>1172687.26</v>
      </c>
      <c r="D2728" s="89" t="s">
        <v>664</v>
      </c>
    </row>
    <row r="2729" spans="1:4" x14ac:dyDescent="0.25">
      <c r="A2729" s="89" t="s">
        <v>688</v>
      </c>
      <c r="B2729" s="89" t="s">
        <v>615</v>
      </c>
      <c r="C2729" s="89">
        <v>2152428.04</v>
      </c>
      <c r="D2729" s="89" t="s">
        <v>663</v>
      </c>
    </row>
    <row r="2730" spans="1:4" x14ac:dyDescent="0.25">
      <c r="A2730" s="89" t="s">
        <v>688</v>
      </c>
      <c r="B2730" s="89" t="s">
        <v>615</v>
      </c>
      <c r="C2730" s="89">
        <v>570017.36</v>
      </c>
      <c r="D2730" s="89" t="s">
        <v>663</v>
      </c>
    </row>
    <row r="2731" spans="1:4" x14ac:dyDescent="0.25">
      <c r="A2731" s="89" t="s">
        <v>688</v>
      </c>
      <c r="B2731" s="89" t="s">
        <v>615</v>
      </c>
      <c r="C2731" s="89">
        <v>1053741.8600000001</v>
      </c>
      <c r="D2731" s="89" t="s">
        <v>664</v>
      </c>
    </row>
    <row r="2732" spans="1:4" x14ac:dyDescent="0.25">
      <c r="A2732" s="89" t="s">
        <v>688</v>
      </c>
      <c r="B2732" s="89" t="s">
        <v>615</v>
      </c>
      <c r="C2732" s="89">
        <v>2912512.07</v>
      </c>
      <c r="D2732" s="89" t="s">
        <v>666</v>
      </c>
    </row>
    <row r="2733" spans="1:4" x14ac:dyDescent="0.25">
      <c r="A2733" s="89" t="s">
        <v>688</v>
      </c>
      <c r="B2733" s="89" t="s">
        <v>615</v>
      </c>
      <c r="C2733" s="89">
        <v>455183</v>
      </c>
      <c r="D2733" s="89" t="s">
        <v>666</v>
      </c>
    </row>
    <row r="2734" spans="1:4" x14ac:dyDescent="0.25">
      <c r="A2734" s="89" t="s">
        <v>688</v>
      </c>
      <c r="B2734" s="89" t="s">
        <v>615</v>
      </c>
      <c r="C2734" s="89">
        <v>1498502</v>
      </c>
      <c r="D2734" s="89" t="s">
        <v>664</v>
      </c>
    </row>
    <row r="2735" spans="1:4" x14ac:dyDescent="0.25">
      <c r="A2735" s="89" t="s">
        <v>42</v>
      </c>
      <c r="B2735" s="89" t="s">
        <v>617</v>
      </c>
      <c r="C2735" s="89">
        <v>3173624</v>
      </c>
      <c r="D2735" s="89" t="s">
        <v>666</v>
      </c>
    </row>
    <row r="2736" spans="1:4" x14ac:dyDescent="0.25">
      <c r="A2736" s="89" t="s">
        <v>42</v>
      </c>
      <c r="B2736" s="89" t="s">
        <v>617</v>
      </c>
      <c r="C2736" s="89">
        <v>3449737</v>
      </c>
      <c r="D2736" s="89" t="s">
        <v>666</v>
      </c>
    </row>
    <row r="2737" spans="1:4" x14ac:dyDescent="0.25">
      <c r="A2737" s="89" t="s">
        <v>42</v>
      </c>
      <c r="B2737" s="89" t="s">
        <v>617</v>
      </c>
      <c r="C2737" s="89">
        <v>3270276</v>
      </c>
      <c r="D2737" s="89" t="s">
        <v>666</v>
      </c>
    </row>
    <row r="2738" spans="1:4" x14ac:dyDescent="0.25">
      <c r="A2738" s="89" t="s">
        <v>42</v>
      </c>
      <c r="B2738" s="89" t="s">
        <v>617</v>
      </c>
      <c r="C2738" s="89">
        <v>50000</v>
      </c>
      <c r="D2738" s="89" t="s">
        <v>666</v>
      </c>
    </row>
    <row r="2739" spans="1:4" x14ac:dyDescent="0.25">
      <c r="A2739" s="89" t="s">
        <v>42</v>
      </c>
      <c r="B2739" s="89" t="s">
        <v>617</v>
      </c>
      <c r="C2739" s="89">
        <v>1191183</v>
      </c>
      <c r="D2739" s="89" t="s">
        <v>666</v>
      </c>
    </row>
    <row r="2740" spans="1:4" x14ac:dyDescent="0.25">
      <c r="A2740" s="89" t="s">
        <v>42</v>
      </c>
      <c r="B2740" s="89" t="s">
        <v>617</v>
      </c>
      <c r="C2740" s="89">
        <v>7598447</v>
      </c>
      <c r="D2740" s="89" t="s">
        <v>666</v>
      </c>
    </row>
    <row r="2741" spans="1:4" x14ac:dyDescent="0.25">
      <c r="A2741" s="89" t="s">
        <v>42</v>
      </c>
      <c r="B2741" s="89" t="s">
        <v>617</v>
      </c>
      <c r="C2741" s="89">
        <v>1551858</v>
      </c>
      <c r="D2741" s="89" t="s">
        <v>666</v>
      </c>
    </row>
    <row r="2742" spans="1:4" x14ac:dyDescent="0.25">
      <c r="A2742" s="89" t="s">
        <v>176</v>
      </c>
      <c r="B2742" s="89" t="s">
        <v>615</v>
      </c>
      <c r="C2742" s="89">
        <v>2165542</v>
      </c>
      <c r="D2742" s="89" t="s">
        <v>663</v>
      </c>
    </row>
    <row r="2743" spans="1:4" x14ac:dyDescent="0.25">
      <c r="A2743" s="89" t="s">
        <v>176</v>
      </c>
      <c r="B2743" s="89" t="s">
        <v>615</v>
      </c>
      <c r="C2743" s="89">
        <v>2227456</v>
      </c>
      <c r="D2743" s="89" t="s">
        <v>663</v>
      </c>
    </row>
    <row r="2744" spans="1:4" x14ac:dyDescent="0.25">
      <c r="A2744" s="89" t="s">
        <v>176</v>
      </c>
      <c r="B2744" s="89" t="s">
        <v>615</v>
      </c>
      <c r="C2744" s="89">
        <v>1192500</v>
      </c>
      <c r="D2744" s="89" t="s">
        <v>663</v>
      </c>
    </row>
    <row r="2745" spans="1:4" x14ac:dyDescent="0.25">
      <c r="A2745" s="89" t="s">
        <v>176</v>
      </c>
      <c r="B2745" s="89" t="s">
        <v>615</v>
      </c>
      <c r="C2745" s="89">
        <v>1800000</v>
      </c>
      <c r="D2745" s="89" t="s">
        <v>663</v>
      </c>
    </row>
    <row r="2746" spans="1:4" x14ac:dyDescent="0.25">
      <c r="A2746" s="89" t="s">
        <v>176</v>
      </c>
      <c r="B2746" s="89" t="s">
        <v>615</v>
      </c>
      <c r="C2746" s="89">
        <v>1354376</v>
      </c>
      <c r="D2746" s="89" t="s">
        <v>663</v>
      </c>
    </row>
    <row r="2747" spans="1:4" x14ac:dyDescent="0.25">
      <c r="A2747" s="89" t="s">
        <v>176</v>
      </c>
      <c r="B2747" s="89" t="s">
        <v>615</v>
      </c>
      <c r="C2747" s="89">
        <v>909702</v>
      </c>
      <c r="D2747" s="89" t="s">
        <v>663</v>
      </c>
    </row>
    <row r="2748" spans="1:4" x14ac:dyDescent="0.25">
      <c r="A2748" s="89" t="s">
        <v>176</v>
      </c>
      <c r="B2748" s="89" t="s">
        <v>615</v>
      </c>
      <c r="C2748" s="89">
        <v>1966398</v>
      </c>
      <c r="D2748" s="89" t="s">
        <v>663</v>
      </c>
    </row>
    <row r="2749" spans="1:4" x14ac:dyDescent="0.25">
      <c r="A2749" s="89" t="s">
        <v>176</v>
      </c>
      <c r="B2749" s="89" t="s">
        <v>615</v>
      </c>
      <c r="C2749" s="89">
        <v>1107709</v>
      </c>
      <c r="D2749" s="89" t="s">
        <v>663</v>
      </c>
    </row>
    <row r="2750" spans="1:4" x14ac:dyDescent="0.25">
      <c r="A2750" s="89" t="s">
        <v>176</v>
      </c>
      <c r="B2750" s="89" t="s">
        <v>615</v>
      </c>
      <c r="C2750" s="89">
        <v>4132829</v>
      </c>
      <c r="D2750" s="89" t="s">
        <v>663</v>
      </c>
    </row>
    <row r="2751" spans="1:4" x14ac:dyDescent="0.25">
      <c r="A2751" s="89" t="s">
        <v>176</v>
      </c>
      <c r="B2751" s="89" t="s">
        <v>615</v>
      </c>
      <c r="C2751" s="89">
        <v>1380793</v>
      </c>
      <c r="D2751" s="89" t="s">
        <v>663</v>
      </c>
    </row>
    <row r="2752" spans="1:4" x14ac:dyDescent="0.25">
      <c r="A2752" s="89" t="s">
        <v>176</v>
      </c>
      <c r="B2752" s="89" t="s">
        <v>615</v>
      </c>
      <c r="C2752" s="89">
        <v>2088032</v>
      </c>
      <c r="D2752" s="89" t="s">
        <v>663</v>
      </c>
    </row>
    <row r="2753" spans="1:4" x14ac:dyDescent="0.25">
      <c r="A2753" s="89" t="s">
        <v>176</v>
      </c>
      <c r="B2753" s="89" t="s">
        <v>615</v>
      </c>
      <c r="C2753" s="89">
        <v>2872002.09</v>
      </c>
      <c r="D2753" s="89" t="s">
        <v>663</v>
      </c>
    </row>
    <row r="2754" spans="1:4" x14ac:dyDescent="0.25">
      <c r="A2754" s="89" t="s">
        <v>176</v>
      </c>
      <c r="B2754" s="89" t="s">
        <v>615</v>
      </c>
      <c r="C2754" s="89">
        <v>2866960</v>
      </c>
      <c r="D2754" s="89" t="s">
        <v>663</v>
      </c>
    </row>
    <row r="2755" spans="1:4" x14ac:dyDescent="0.25">
      <c r="A2755" s="89" t="s">
        <v>176</v>
      </c>
      <c r="B2755" s="89" t="s">
        <v>615</v>
      </c>
      <c r="C2755" s="89">
        <v>-7184.03</v>
      </c>
      <c r="D2755" s="89" t="s">
        <v>663</v>
      </c>
    </row>
    <row r="2756" spans="1:4" x14ac:dyDescent="0.25">
      <c r="A2756" s="89" t="s">
        <v>176</v>
      </c>
      <c r="B2756" s="89" t="s">
        <v>615</v>
      </c>
      <c r="C2756" s="89">
        <v>2192317</v>
      </c>
      <c r="D2756" s="89" t="s">
        <v>663</v>
      </c>
    </row>
    <row r="2757" spans="1:4" x14ac:dyDescent="0.25">
      <c r="A2757" s="89" t="s">
        <v>176</v>
      </c>
      <c r="B2757" s="89" t="s">
        <v>615</v>
      </c>
      <c r="C2757" s="89">
        <v>1054393</v>
      </c>
      <c r="D2757" s="89" t="s">
        <v>663</v>
      </c>
    </row>
    <row r="2758" spans="1:4" x14ac:dyDescent="0.25">
      <c r="A2758" s="89" t="s">
        <v>176</v>
      </c>
      <c r="B2758" s="89" t="s">
        <v>615</v>
      </c>
      <c r="C2758" s="89">
        <v>2795107</v>
      </c>
      <c r="D2758" s="89" t="s">
        <v>663</v>
      </c>
    </row>
    <row r="2759" spans="1:4" x14ac:dyDescent="0.25">
      <c r="A2759" s="89" t="s">
        <v>176</v>
      </c>
      <c r="B2759" s="89" t="s">
        <v>615</v>
      </c>
      <c r="C2759" s="89">
        <v>2963521</v>
      </c>
      <c r="D2759" s="89" t="s">
        <v>663</v>
      </c>
    </row>
    <row r="2760" spans="1:4" x14ac:dyDescent="0.25">
      <c r="A2760" s="89" t="s">
        <v>176</v>
      </c>
      <c r="B2760" s="89" t="s">
        <v>615</v>
      </c>
      <c r="C2760" s="89">
        <v>3631123</v>
      </c>
      <c r="D2760" s="89" t="s">
        <v>663</v>
      </c>
    </row>
    <row r="2761" spans="1:4" x14ac:dyDescent="0.25">
      <c r="A2761" s="89" t="s">
        <v>176</v>
      </c>
      <c r="B2761" s="89" t="s">
        <v>615</v>
      </c>
      <c r="C2761" s="89">
        <v>-29193.97</v>
      </c>
      <c r="D2761" s="89" t="s">
        <v>663</v>
      </c>
    </row>
    <row r="2762" spans="1:4" x14ac:dyDescent="0.25">
      <c r="A2762" s="89" t="s">
        <v>176</v>
      </c>
      <c r="B2762" s="89" t="s">
        <v>615</v>
      </c>
      <c r="C2762" s="89">
        <v>4544472</v>
      </c>
      <c r="D2762" s="89" t="s">
        <v>663</v>
      </c>
    </row>
    <row r="2763" spans="1:4" x14ac:dyDescent="0.25">
      <c r="A2763" s="89" t="s">
        <v>176</v>
      </c>
      <c r="B2763" s="89" t="s">
        <v>615</v>
      </c>
      <c r="C2763" s="89">
        <v>2218323</v>
      </c>
      <c r="D2763" s="89" t="s">
        <v>663</v>
      </c>
    </row>
    <row r="2764" spans="1:4" x14ac:dyDescent="0.25">
      <c r="A2764" s="89" t="s">
        <v>176</v>
      </c>
      <c r="B2764" s="89" t="s">
        <v>615</v>
      </c>
      <c r="C2764" s="89">
        <v>6284124</v>
      </c>
      <c r="D2764" s="89" t="s">
        <v>663</v>
      </c>
    </row>
    <row r="2765" spans="1:4" x14ac:dyDescent="0.25">
      <c r="A2765" s="89" t="s">
        <v>41</v>
      </c>
      <c r="B2765" s="89" t="s">
        <v>615</v>
      </c>
      <c r="C2765" s="89">
        <v>151750</v>
      </c>
      <c r="D2765" s="89" t="s">
        <v>663</v>
      </c>
    </row>
    <row r="2766" spans="1:4" x14ac:dyDescent="0.25">
      <c r="A2766" s="89" t="s">
        <v>41</v>
      </c>
      <c r="B2766" s="89" t="s">
        <v>615</v>
      </c>
      <c r="C2766" s="89">
        <v>358000</v>
      </c>
      <c r="D2766" s="89" t="s">
        <v>666</v>
      </c>
    </row>
    <row r="2767" spans="1:4" x14ac:dyDescent="0.25">
      <c r="A2767" s="89" t="s">
        <v>41</v>
      </c>
      <c r="B2767" s="89" t="s">
        <v>615</v>
      </c>
      <c r="C2767" s="89">
        <v>281394</v>
      </c>
      <c r="D2767" s="89" t="s">
        <v>663</v>
      </c>
    </row>
    <row r="2768" spans="1:4" x14ac:dyDescent="0.25">
      <c r="A2768" s="89" t="s">
        <v>41</v>
      </c>
      <c r="B2768" s="89" t="s">
        <v>615</v>
      </c>
      <c r="C2768" s="89">
        <v>226400</v>
      </c>
      <c r="D2768" s="89" t="s">
        <v>663</v>
      </c>
    </row>
    <row r="2769" spans="1:4" x14ac:dyDescent="0.25">
      <c r="A2769" s="89" t="s">
        <v>41</v>
      </c>
      <c r="B2769" s="89" t="s">
        <v>615</v>
      </c>
      <c r="C2769" s="89">
        <v>105788</v>
      </c>
      <c r="D2769" s="89" t="s">
        <v>663</v>
      </c>
    </row>
    <row r="2770" spans="1:4" x14ac:dyDescent="0.25">
      <c r="A2770" s="89" t="s">
        <v>41</v>
      </c>
      <c r="B2770" s="89" t="s">
        <v>615</v>
      </c>
      <c r="C2770" s="89">
        <v>513975</v>
      </c>
      <c r="D2770" s="89" t="s">
        <v>663</v>
      </c>
    </row>
    <row r="2771" spans="1:4" x14ac:dyDescent="0.25">
      <c r="A2771" s="89" t="s">
        <v>41</v>
      </c>
      <c r="B2771" s="89" t="s">
        <v>615</v>
      </c>
      <c r="C2771" s="89">
        <v>570000</v>
      </c>
      <c r="D2771" s="89" t="s">
        <v>666</v>
      </c>
    </row>
    <row r="2772" spans="1:4" x14ac:dyDescent="0.25">
      <c r="A2772" s="89" t="s">
        <v>41</v>
      </c>
      <c r="B2772" s="89" t="s">
        <v>615</v>
      </c>
      <c r="C2772" s="89">
        <v>1063759.23</v>
      </c>
      <c r="D2772" s="89" t="s">
        <v>663</v>
      </c>
    </row>
    <row r="2773" spans="1:4" x14ac:dyDescent="0.25">
      <c r="A2773" s="89" t="s">
        <v>41</v>
      </c>
      <c r="B2773" s="89" t="s">
        <v>615</v>
      </c>
      <c r="C2773" s="89">
        <v>933909</v>
      </c>
      <c r="D2773" s="89" t="s">
        <v>663</v>
      </c>
    </row>
    <row r="2774" spans="1:4" x14ac:dyDescent="0.25">
      <c r="A2774" s="89" t="s">
        <v>41</v>
      </c>
      <c r="B2774" s="89" t="s">
        <v>615</v>
      </c>
      <c r="C2774" s="89">
        <v>500000</v>
      </c>
      <c r="D2774" s="89" t="s">
        <v>663</v>
      </c>
    </row>
    <row r="2775" spans="1:4" x14ac:dyDescent="0.25">
      <c r="A2775" s="89" t="s">
        <v>41</v>
      </c>
      <c r="B2775" s="89" t="s">
        <v>615</v>
      </c>
      <c r="C2775" s="89">
        <v>544583</v>
      </c>
      <c r="D2775" s="89" t="s">
        <v>663</v>
      </c>
    </row>
    <row r="2776" spans="1:4" x14ac:dyDescent="0.25">
      <c r="A2776" s="89" t="s">
        <v>41</v>
      </c>
      <c r="B2776" s="89" t="s">
        <v>615</v>
      </c>
      <c r="C2776" s="89">
        <v>509519.83</v>
      </c>
      <c r="D2776" s="89" t="s">
        <v>663</v>
      </c>
    </row>
    <row r="2777" spans="1:4" x14ac:dyDescent="0.25">
      <c r="A2777" s="89" t="s">
        <v>41</v>
      </c>
      <c r="B2777" s="89" t="s">
        <v>615</v>
      </c>
      <c r="C2777" s="89">
        <v>651043</v>
      </c>
      <c r="D2777" s="89" t="s">
        <v>663</v>
      </c>
    </row>
    <row r="2778" spans="1:4" x14ac:dyDescent="0.25">
      <c r="A2778" s="89" t="s">
        <v>41</v>
      </c>
      <c r="B2778" s="89" t="s">
        <v>615</v>
      </c>
      <c r="C2778" s="89">
        <v>550000</v>
      </c>
      <c r="D2778" s="89" t="s">
        <v>666</v>
      </c>
    </row>
    <row r="2779" spans="1:4" x14ac:dyDescent="0.25">
      <c r="A2779" s="89" t="s">
        <v>41</v>
      </c>
      <c r="B2779" s="89" t="s">
        <v>615</v>
      </c>
      <c r="C2779" s="89">
        <v>198250</v>
      </c>
      <c r="D2779" s="89" t="s">
        <v>666</v>
      </c>
    </row>
    <row r="2780" spans="1:4" x14ac:dyDescent="0.25">
      <c r="A2780" s="89" t="s">
        <v>41</v>
      </c>
      <c r="B2780" s="89" t="s">
        <v>615</v>
      </c>
      <c r="C2780" s="89">
        <v>-12461.59</v>
      </c>
      <c r="D2780" s="89" t="s">
        <v>663</v>
      </c>
    </row>
    <row r="2781" spans="1:4" x14ac:dyDescent="0.25">
      <c r="A2781" s="89" t="s">
        <v>41</v>
      </c>
      <c r="B2781" s="89" t="s">
        <v>615</v>
      </c>
      <c r="C2781" s="89">
        <v>380800</v>
      </c>
      <c r="D2781" s="89" t="s">
        <v>666</v>
      </c>
    </row>
    <row r="2782" spans="1:4" x14ac:dyDescent="0.25">
      <c r="A2782" s="89" t="s">
        <v>41</v>
      </c>
      <c r="B2782" s="89" t="s">
        <v>615</v>
      </c>
      <c r="C2782" s="89">
        <v>1247280</v>
      </c>
      <c r="D2782" s="89" t="s">
        <v>663</v>
      </c>
    </row>
    <row r="2783" spans="1:4" x14ac:dyDescent="0.25">
      <c r="A2783" s="89" t="s">
        <v>41</v>
      </c>
      <c r="B2783" s="89" t="s">
        <v>615</v>
      </c>
      <c r="C2783" s="89">
        <v>135814</v>
      </c>
      <c r="D2783" s="89" t="s">
        <v>666</v>
      </c>
    </row>
    <row r="2784" spans="1:4" x14ac:dyDescent="0.25">
      <c r="A2784" s="89" t="s">
        <v>41</v>
      </c>
      <c r="B2784" s="89" t="s">
        <v>615</v>
      </c>
      <c r="C2784" s="89">
        <v>590000</v>
      </c>
      <c r="D2784" s="89" t="s">
        <v>666</v>
      </c>
    </row>
    <row r="2785" spans="1:4" x14ac:dyDescent="0.25">
      <c r="A2785" s="89" t="s">
        <v>41</v>
      </c>
      <c r="B2785" s="89" t="s">
        <v>615</v>
      </c>
      <c r="C2785" s="89">
        <v>369573</v>
      </c>
      <c r="D2785" s="89" t="s">
        <v>663</v>
      </c>
    </row>
    <row r="2786" spans="1:4" x14ac:dyDescent="0.25">
      <c r="A2786" s="89" t="s">
        <v>174</v>
      </c>
      <c r="B2786" s="89" t="s">
        <v>615</v>
      </c>
      <c r="C2786" s="89">
        <v>925934</v>
      </c>
      <c r="D2786" s="89" t="s">
        <v>663</v>
      </c>
    </row>
    <row r="2787" spans="1:4" x14ac:dyDescent="0.25">
      <c r="A2787" s="89" t="s">
        <v>174</v>
      </c>
      <c r="B2787" s="89" t="s">
        <v>615</v>
      </c>
      <c r="C2787" s="89">
        <v>1637454.48</v>
      </c>
      <c r="D2787" s="89" t="s">
        <v>663</v>
      </c>
    </row>
    <row r="2788" spans="1:4" x14ac:dyDescent="0.25">
      <c r="A2788" s="89" t="s">
        <v>174</v>
      </c>
      <c r="B2788" s="89" t="s">
        <v>615</v>
      </c>
      <c r="C2788" s="89">
        <v>901569</v>
      </c>
      <c r="D2788" s="89" t="s">
        <v>663</v>
      </c>
    </row>
    <row r="2789" spans="1:4" x14ac:dyDescent="0.25">
      <c r="A2789" s="89" t="s">
        <v>174</v>
      </c>
      <c r="B2789" s="89" t="s">
        <v>615</v>
      </c>
      <c r="C2789" s="89">
        <v>943070</v>
      </c>
      <c r="D2789" s="89" t="s">
        <v>663</v>
      </c>
    </row>
    <row r="2790" spans="1:4" x14ac:dyDescent="0.25">
      <c r="A2790" s="89" t="s">
        <v>174</v>
      </c>
      <c r="B2790" s="89" t="s">
        <v>615</v>
      </c>
      <c r="C2790" s="89">
        <v>2917042</v>
      </c>
      <c r="D2790" s="89" t="s">
        <v>663</v>
      </c>
    </row>
    <row r="2791" spans="1:4" x14ac:dyDescent="0.25">
      <c r="A2791" s="89" t="s">
        <v>174</v>
      </c>
      <c r="B2791" s="89" t="s">
        <v>615</v>
      </c>
      <c r="C2791" s="89">
        <v>637700</v>
      </c>
      <c r="D2791" s="89" t="s">
        <v>663</v>
      </c>
    </row>
    <row r="2792" spans="1:4" x14ac:dyDescent="0.25">
      <c r="A2792" s="89" t="s">
        <v>174</v>
      </c>
      <c r="B2792" s="89" t="s">
        <v>615</v>
      </c>
      <c r="C2792" s="89">
        <v>1260416</v>
      </c>
      <c r="D2792" s="89" t="s">
        <v>666</v>
      </c>
    </row>
    <row r="2793" spans="1:4" x14ac:dyDescent="0.25">
      <c r="A2793" s="89" t="s">
        <v>174</v>
      </c>
      <c r="B2793" s="89" t="s">
        <v>615</v>
      </c>
      <c r="C2793" s="89">
        <v>50000</v>
      </c>
      <c r="D2793" s="89" t="s">
        <v>666</v>
      </c>
    </row>
    <row r="2794" spans="1:4" x14ac:dyDescent="0.25">
      <c r="A2794" s="89" t="s">
        <v>174</v>
      </c>
      <c r="B2794" s="89" t="s">
        <v>615</v>
      </c>
      <c r="C2794" s="89">
        <v>1135372</v>
      </c>
      <c r="D2794" s="89" t="s">
        <v>663</v>
      </c>
    </row>
    <row r="2795" spans="1:4" x14ac:dyDescent="0.25">
      <c r="A2795" s="89" t="s">
        <v>174</v>
      </c>
      <c r="B2795" s="89" t="s">
        <v>615</v>
      </c>
      <c r="C2795" s="89">
        <v>1746296</v>
      </c>
      <c r="D2795" s="89" t="s">
        <v>666</v>
      </c>
    </row>
    <row r="2796" spans="1:4" x14ac:dyDescent="0.25">
      <c r="A2796" s="89" t="s">
        <v>174</v>
      </c>
      <c r="B2796" s="89" t="s">
        <v>615</v>
      </c>
      <c r="C2796" s="89">
        <v>2175298</v>
      </c>
      <c r="D2796" s="89" t="s">
        <v>663</v>
      </c>
    </row>
    <row r="2797" spans="1:4" x14ac:dyDescent="0.25">
      <c r="A2797" s="89" t="s">
        <v>174</v>
      </c>
      <c r="B2797" s="89" t="s">
        <v>615</v>
      </c>
      <c r="C2797" s="89">
        <v>8967394</v>
      </c>
      <c r="D2797" s="89" t="s">
        <v>666</v>
      </c>
    </row>
    <row r="2798" spans="1:4" x14ac:dyDescent="0.25">
      <c r="A2798" s="89" t="s">
        <v>174</v>
      </c>
      <c r="B2798" s="89" t="s">
        <v>615</v>
      </c>
      <c r="C2798" s="89">
        <v>452925</v>
      </c>
      <c r="D2798" s="89" t="s">
        <v>666</v>
      </c>
    </row>
    <row r="2799" spans="1:4" x14ac:dyDescent="0.25">
      <c r="A2799" s="89" t="s">
        <v>174</v>
      </c>
      <c r="B2799" s="89" t="s">
        <v>615</v>
      </c>
      <c r="C2799" s="89">
        <v>50000</v>
      </c>
      <c r="D2799" s="89" t="s">
        <v>666</v>
      </c>
    </row>
    <row r="2800" spans="1:4" x14ac:dyDescent="0.25">
      <c r="A2800" s="89" t="s">
        <v>174</v>
      </c>
      <c r="B2800" s="89" t="s">
        <v>615</v>
      </c>
      <c r="C2800" s="89">
        <v>195598</v>
      </c>
      <c r="D2800" s="89" t="s">
        <v>666</v>
      </c>
    </row>
    <row r="2801" spans="1:4" x14ac:dyDescent="0.25">
      <c r="A2801" s="89" t="s">
        <v>174</v>
      </c>
      <c r="B2801" s="89" t="s">
        <v>615</v>
      </c>
      <c r="C2801" s="89">
        <v>3562440</v>
      </c>
      <c r="D2801" s="89" t="s">
        <v>663</v>
      </c>
    </row>
    <row r="2802" spans="1:4" x14ac:dyDescent="0.25">
      <c r="A2802" s="89" t="s">
        <v>174</v>
      </c>
      <c r="B2802" s="89" t="s">
        <v>615</v>
      </c>
      <c r="C2802" s="89">
        <v>1587724</v>
      </c>
      <c r="D2802" s="89" t="s">
        <v>663</v>
      </c>
    </row>
    <row r="2803" spans="1:4" x14ac:dyDescent="0.25">
      <c r="A2803" s="89" t="s">
        <v>174</v>
      </c>
      <c r="B2803" s="89" t="s">
        <v>615</v>
      </c>
      <c r="C2803" s="89">
        <v>1839259</v>
      </c>
      <c r="D2803" s="89" t="s">
        <v>663</v>
      </c>
    </row>
    <row r="2804" spans="1:4" x14ac:dyDescent="0.25">
      <c r="A2804" s="89" t="s">
        <v>174</v>
      </c>
      <c r="B2804" s="89" t="s">
        <v>615</v>
      </c>
      <c r="C2804" s="89">
        <v>242946.5</v>
      </c>
      <c r="D2804" s="89" t="s">
        <v>663</v>
      </c>
    </row>
    <row r="2805" spans="1:4" x14ac:dyDescent="0.25">
      <c r="A2805" s="89" t="s">
        <v>174</v>
      </c>
      <c r="B2805" s="89" t="s">
        <v>615</v>
      </c>
      <c r="C2805" s="89">
        <v>4688016</v>
      </c>
      <c r="D2805" s="89" t="s">
        <v>663</v>
      </c>
    </row>
    <row r="2806" spans="1:4" x14ac:dyDescent="0.25">
      <c r="A2806" s="89" t="s">
        <v>174</v>
      </c>
      <c r="B2806" s="89" t="s">
        <v>615</v>
      </c>
      <c r="C2806" s="89">
        <v>5459507</v>
      </c>
      <c r="D2806" s="89" t="s">
        <v>663</v>
      </c>
    </row>
    <row r="2807" spans="1:4" x14ac:dyDescent="0.25">
      <c r="A2807" s="89" t="s">
        <v>174</v>
      </c>
      <c r="B2807" s="89" t="s">
        <v>615</v>
      </c>
      <c r="C2807" s="89">
        <v>-8704.7999999999993</v>
      </c>
      <c r="D2807" s="89" t="s">
        <v>663</v>
      </c>
    </row>
    <row r="2808" spans="1:4" x14ac:dyDescent="0.25">
      <c r="A2808" s="89" t="s">
        <v>174</v>
      </c>
      <c r="B2808" s="89" t="s">
        <v>615</v>
      </c>
      <c r="C2808" s="89">
        <v>50000</v>
      </c>
      <c r="D2808" s="89" t="s">
        <v>666</v>
      </c>
    </row>
    <row r="2809" spans="1:4" x14ac:dyDescent="0.25">
      <c r="A2809" s="89" t="s">
        <v>174</v>
      </c>
      <c r="B2809" s="89" t="s">
        <v>615</v>
      </c>
      <c r="C2809" s="89">
        <v>7574536</v>
      </c>
      <c r="D2809" s="89" t="s">
        <v>666</v>
      </c>
    </row>
    <row r="2810" spans="1:4" x14ac:dyDescent="0.25">
      <c r="A2810" s="89" t="s">
        <v>174</v>
      </c>
      <c r="B2810" s="89" t="s">
        <v>615</v>
      </c>
      <c r="C2810" s="89">
        <v>1167134.8899999999</v>
      </c>
      <c r="D2810" s="89" t="s">
        <v>663</v>
      </c>
    </row>
    <row r="2811" spans="1:4" x14ac:dyDescent="0.25">
      <c r="A2811" s="89" t="s">
        <v>174</v>
      </c>
      <c r="B2811" s="89" t="s">
        <v>615</v>
      </c>
      <c r="C2811" s="89">
        <v>1237399</v>
      </c>
      <c r="D2811" s="89" t="s">
        <v>666</v>
      </c>
    </row>
    <row r="2812" spans="1:4" x14ac:dyDescent="0.25">
      <c r="A2812" s="89" t="s">
        <v>174</v>
      </c>
      <c r="B2812" s="89" t="s">
        <v>615</v>
      </c>
      <c r="C2812" s="89">
        <v>100000</v>
      </c>
      <c r="D2812" s="89" t="s">
        <v>666</v>
      </c>
    </row>
    <row r="2813" spans="1:4" x14ac:dyDescent="0.25">
      <c r="A2813" s="89" t="s">
        <v>174</v>
      </c>
      <c r="B2813" s="89" t="s">
        <v>615</v>
      </c>
      <c r="C2813" s="89">
        <v>2163305</v>
      </c>
      <c r="D2813" s="89" t="s">
        <v>666</v>
      </c>
    </row>
    <row r="2814" spans="1:4" x14ac:dyDescent="0.25">
      <c r="A2814" s="89" t="s">
        <v>174</v>
      </c>
      <c r="B2814" s="89" t="s">
        <v>615</v>
      </c>
      <c r="C2814" s="89">
        <v>1674150</v>
      </c>
      <c r="D2814" s="89" t="s">
        <v>663</v>
      </c>
    </row>
    <row r="2815" spans="1:4" x14ac:dyDescent="0.25">
      <c r="A2815" s="89" t="s">
        <v>174</v>
      </c>
      <c r="B2815" s="89" t="s">
        <v>615</v>
      </c>
      <c r="C2815" s="89">
        <v>5353931</v>
      </c>
      <c r="D2815" s="89" t="s">
        <v>666</v>
      </c>
    </row>
    <row r="2816" spans="1:4" x14ac:dyDescent="0.25">
      <c r="A2816" s="89" t="s">
        <v>174</v>
      </c>
      <c r="B2816" s="89" t="s">
        <v>615</v>
      </c>
      <c r="C2816" s="89">
        <v>475932</v>
      </c>
      <c r="D2816" s="89" t="s">
        <v>666</v>
      </c>
    </row>
    <row r="2817" spans="1:4" x14ac:dyDescent="0.25">
      <c r="A2817" s="89" t="s">
        <v>174</v>
      </c>
      <c r="B2817" s="89" t="s">
        <v>615</v>
      </c>
      <c r="C2817" s="89">
        <v>825500</v>
      </c>
      <c r="D2817" s="89" t="s">
        <v>663</v>
      </c>
    </row>
    <row r="2818" spans="1:4" x14ac:dyDescent="0.25">
      <c r="A2818" s="89" t="s">
        <v>174</v>
      </c>
      <c r="B2818" s="89" t="s">
        <v>615</v>
      </c>
      <c r="C2818" s="89">
        <v>5012211</v>
      </c>
      <c r="D2818" s="89" t="s">
        <v>663</v>
      </c>
    </row>
    <row r="2819" spans="1:4" x14ac:dyDescent="0.25">
      <c r="A2819" s="89" t="s">
        <v>174</v>
      </c>
      <c r="B2819" s="89" t="s">
        <v>615</v>
      </c>
      <c r="C2819" s="89">
        <v>5388267</v>
      </c>
      <c r="D2819" s="89" t="s">
        <v>666</v>
      </c>
    </row>
    <row r="2820" spans="1:4" x14ac:dyDescent="0.25">
      <c r="A2820" s="89" t="s">
        <v>174</v>
      </c>
      <c r="B2820" s="89" t="s">
        <v>615</v>
      </c>
      <c r="C2820" s="89">
        <v>583465</v>
      </c>
      <c r="D2820" s="89" t="s">
        <v>666</v>
      </c>
    </row>
    <row r="2821" spans="1:4" x14ac:dyDescent="0.25">
      <c r="A2821" s="89" t="s">
        <v>89</v>
      </c>
      <c r="B2821" s="89" t="s">
        <v>617</v>
      </c>
      <c r="C2821" s="89">
        <v>17773580</v>
      </c>
      <c r="D2821" s="89" t="s">
        <v>664</v>
      </c>
    </row>
    <row r="2822" spans="1:4" x14ac:dyDescent="0.25">
      <c r="A2822" s="89" t="s">
        <v>89</v>
      </c>
      <c r="B2822" s="89" t="s">
        <v>617</v>
      </c>
      <c r="C2822" s="89">
        <v>48814</v>
      </c>
      <c r="D2822" s="89" t="s">
        <v>663</v>
      </c>
    </row>
    <row r="2823" spans="1:4" x14ac:dyDescent="0.25">
      <c r="A2823" s="89" t="s">
        <v>89</v>
      </c>
      <c r="B2823" s="89" t="s">
        <v>617</v>
      </c>
      <c r="C2823" s="89">
        <v>20615003</v>
      </c>
      <c r="D2823" s="89" t="s">
        <v>663</v>
      </c>
    </row>
    <row r="2824" spans="1:4" x14ac:dyDescent="0.25">
      <c r="A2824" s="89" t="s">
        <v>89</v>
      </c>
      <c r="B2824" s="89" t="s">
        <v>617</v>
      </c>
      <c r="C2824" s="89">
        <v>1617987</v>
      </c>
      <c r="D2824" s="89" t="s">
        <v>666</v>
      </c>
    </row>
    <row r="2825" spans="1:4" x14ac:dyDescent="0.25">
      <c r="A2825" s="89" t="s">
        <v>89</v>
      </c>
      <c r="B2825" s="89" t="s">
        <v>617</v>
      </c>
      <c r="C2825" s="89">
        <v>3699906</v>
      </c>
      <c r="D2825" s="89" t="s">
        <v>664</v>
      </c>
    </row>
    <row r="2826" spans="1:4" x14ac:dyDescent="0.25">
      <c r="A2826" s="89" t="s">
        <v>89</v>
      </c>
      <c r="B2826" s="89" t="s">
        <v>617</v>
      </c>
      <c r="C2826" s="89">
        <v>21107</v>
      </c>
      <c r="D2826" s="89" t="s">
        <v>663</v>
      </c>
    </row>
    <row r="2827" spans="1:4" x14ac:dyDescent="0.25">
      <c r="A2827" s="89" t="s">
        <v>89</v>
      </c>
      <c r="B2827" s="89" t="s">
        <v>617</v>
      </c>
      <c r="C2827" s="89">
        <v>8621100</v>
      </c>
      <c r="D2827" s="89" t="s">
        <v>664</v>
      </c>
    </row>
    <row r="2828" spans="1:4" x14ac:dyDescent="0.25">
      <c r="A2828" s="89" t="s">
        <v>89</v>
      </c>
      <c r="B2828" s="89" t="s">
        <v>617</v>
      </c>
      <c r="C2828" s="89">
        <v>5839879</v>
      </c>
      <c r="D2828" s="89" t="s">
        <v>663</v>
      </c>
    </row>
    <row r="2829" spans="1:4" x14ac:dyDescent="0.25">
      <c r="A2829" s="89" t="s">
        <v>89</v>
      </c>
      <c r="B2829" s="89" t="s">
        <v>617</v>
      </c>
      <c r="C2829" s="89">
        <v>82651</v>
      </c>
      <c r="D2829" s="89" t="s">
        <v>663</v>
      </c>
    </row>
    <row r="2830" spans="1:4" x14ac:dyDescent="0.25">
      <c r="A2830" s="89" t="s">
        <v>89</v>
      </c>
      <c r="B2830" s="89" t="s">
        <v>617</v>
      </c>
      <c r="C2830" s="89">
        <v>842119</v>
      </c>
      <c r="D2830" s="89" t="s">
        <v>666</v>
      </c>
    </row>
    <row r="2831" spans="1:4" x14ac:dyDescent="0.25">
      <c r="A2831" s="89" t="s">
        <v>89</v>
      </c>
      <c r="B2831" s="89" t="s">
        <v>617</v>
      </c>
      <c r="C2831" s="89">
        <v>23505593</v>
      </c>
      <c r="D2831" s="89" t="s">
        <v>664</v>
      </c>
    </row>
    <row r="2832" spans="1:4" x14ac:dyDescent="0.25">
      <c r="A2832" s="89" t="s">
        <v>89</v>
      </c>
      <c r="B2832" s="89" t="s">
        <v>617</v>
      </c>
      <c r="C2832" s="89">
        <v>3511242</v>
      </c>
      <c r="D2832" s="89" t="s">
        <v>666</v>
      </c>
    </row>
    <row r="2833" spans="1:4" x14ac:dyDescent="0.25">
      <c r="A2833" s="89" t="s">
        <v>89</v>
      </c>
      <c r="B2833" s="89" t="s">
        <v>617</v>
      </c>
      <c r="C2833" s="89">
        <v>17852240</v>
      </c>
      <c r="D2833" s="89" t="s">
        <v>663</v>
      </c>
    </row>
    <row r="2834" spans="1:4" x14ac:dyDescent="0.25">
      <c r="A2834" s="89" t="s">
        <v>89</v>
      </c>
      <c r="B2834" s="89" t="s">
        <v>617</v>
      </c>
      <c r="C2834" s="89">
        <v>26431540</v>
      </c>
      <c r="D2834" s="89" t="s">
        <v>664</v>
      </c>
    </row>
    <row r="2835" spans="1:4" x14ac:dyDescent="0.25">
      <c r="A2835" s="89" t="s">
        <v>89</v>
      </c>
      <c r="B2835" s="89" t="s">
        <v>617</v>
      </c>
      <c r="C2835" s="89">
        <v>1058761</v>
      </c>
      <c r="D2835" s="89" t="s">
        <v>666</v>
      </c>
    </row>
    <row r="2836" spans="1:4" x14ac:dyDescent="0.25">
      <c r="A2836" s="89" t="s">
        <v>89</v>
      </c>
      <c r="B2836" s="89" t="s">
        <v>617</v>
      </c>
      <c r="C2836" s="89">
        <v>100000</v>
      </c>
      <c r="D2836" s="89" t="s">
        <v>666</v>
      </c>
    </row>
    <row r="2837" spans="1:4" x14ac:dyDescent="0.25">
      <c r="A2837" s="89" t="s">
        <v>89</v>
      </c>
      <c r="B2837" s="89" t="s">
        <v>617</v>
      </c>
      <c r="C2837" s="89">
        <v>18343450</v>
      </c>
      <c r="D2837" s="89" t="s">
        <v>663</v>
      </c>
    </row>
    <row r="2838" spans="1:4" x14ac:dyDescent="0.25">
      <c r="A2838" s="89" t="s">
        <v>89</v>
      </c>
      <c r="B2838" s="89" t="s">
        <v>617</v>
      </c>
      <c r="C2838" s="89">
        <v>4735494</v>
      </c>
      <c r="D2838" s="89" t="s">
        <v>663</v>
      </c>
    </row>
    <row r="2839" spans="1:4" x14ac:dyDescent="0.25">
      <c r="A2839" s="89" t="s">
        <v>89</v>
      </c>
      <c r="B2839" s="89" t="s">
        <v>617</v>
      </c>
      <c r="C2839" s="89">
        <v>11803456</v>
      </c>
      <c r="D2839" s="89" t="s">
        <v>663</v>
      </c>
    </row>
    <row r="2840" spans="1:4" x14ac:dyDescent="0.25">
      <c r="A2840" s="89" t="s">
        <v>89</v>
      </c>
      <c r="B2840" s="89" t="s">
        <v>617</v>
      </c>
      <c r="C2840" s="89">
        <v>839416</v>
      </c>
      <c r="D2840" s="89" t="s">
        <v>666</v>
      </c>
    </row>
    <row r="2841" spans="1:4" x14ac:dyDescent="0.25">
      <c r="A2841" s="89" t="s">
        <v>89</v>
      </c>
      <c r="B2841" s="89" t="s">
        <v>617</v>
      </c>
      <c r="C2841" s="89">
        <v>940541</v>
      </c>
      <c r="D2841" s="89" t="s">
        <v>664</v>
      </c>
    </row>
    <row r="2842" spans="1:4" x14ac:dyDescent="0.25">
      <c r="A2842" s="89" t="s">
        <v>89</v>
      </c>
      <c r="B2842" s="89" t="s">
        <v>617</v>
      </c>
      <c r="C2842" s="89">
        <v>506165</v>
      </c>
      <c r="D2842" s="89" t="s">
        <v>663</v>
      </c>
    </row>
    <row r="2843" spans="1:4" x14ac:dyDescent="0.25">
      <c r="A2843" s="89" t="s">
        <v>89</v>
      </c>
      <c r="B2843" s="89" t="s">
        <v>617</v>
      </c>
      <c r="C2843" s="89">
        <v>1210945</v>
      </c>
      <c r="D2843" s="89" t="s">
        <v>663</v>
      </c>
    </row>
    <row r="2844" spans="1:4" x14ac:dyDescent="0.25">
      <c r="A2844" s="89" t="s">
        <v>89</v>
      </c>
      <c r="B2844" s="89" t="s">
        <v>617</v>
      </c>
      <c r="C2844" s="89">
        <v>2288696</v>
      </c>
      <c r="D2844" s="89" t="s">
        <v>664</v>
      </c>
    </row>
    <row r="2845" spans="1:4" x14ac:dyDescent="0.25">
      <c r="A2845" s="89" t="s">
        <v>89</v>
      </c>
      <c r="B2845" s="89" t="s">
        <v>617</v>
      </c>
      <c r="C2845" s="89">
        <v>4589945</v>
      </c>
      <c r="D2845" s="89" t="s">
        <v>663</v>
      </c>
    </row>
    <row r="2846" spans="1:4" x14ac:dyDescent="0.25">
      <c r="A2846" s="89" t="s">
        <v>89</v>
      </c>
      <c r="B2846" s="89" t="s">
        <v>617</v>
      </c>
      <c r="C2846" s="89">
        <v>10112</v>
      </c>
      <c r="D2846" s="89" t="s">
        <v>663</v>
      </c>
    </row>
    <row r="2847" spans="1:4" x14ac:dyDescent="0.25">
      <c r="A2847" s="89" t="s">
        <v>89</v>
      </c>
      <c r="B2847" s="89" t="s">
        <v>617</v>
      </c>
      <c r="C2847" s="89">
        <v>796433</v>
      </c>
      <c r="D2847" s="89" t="s">
        <v>663</v>
      </c>
    </row>
    <row r="2848" spans="1:4" x14ac:dyDescent="0.25">
      <c r="A2848" s="89" t="s">
        <v>89</v>
      </c>
      <c r="B2848" s="89" t="s">
        <v>617</v>
      </c>
      <c r="C2848" s="89">
        <v>137270</v>
      </c>
      <c r="D2848" s="89" t="s">
        <v>663</v>
      </c>
    </row>
    <row r="2849" spans="1:4" x14ac:dyDescent="0.25">
      <c r="A2849" s="89" t="s">
        <v>89</v>
      </c>
      <c r="B2849" s="89" t="s">
        <v>617</v>
      </c>
      <c r="C2849" s="89">
        <v>8500</v>
      </c>
      <c r="D2849" s="89" t="s">
        <v>663</v>
      </c>
    </row>
    <row r="2850" spans="1:4" x14ac:dyDescent="0.25">
      <c r="A2850" s="89" t="s">
        <v>89</v>
      </c>
      <c r="B2850" s="89" t="s">
        <v>617</v>
      </c>
      <c r="C2850" s="89">
        <v>49691</v>
      </c>
      <c r="D2850" s="89" t="s">
        <v>663</v>
      </c>
    </row>
    <row r="2851" spans="1:4" x14ac:dyDescent="0.25">
      <c r="A2851" s="89" t="s">
        <v>89</v>
      </c>
      <c r="B2851" s="89" t="s">
        <v>617</v>
      </c>
      <c r="C2851" s="89">
        <v>19109814</v>
      </c>
      <c r="D2851" s="89" t="s">
        <v>663</v>
      </c>
    </row>
    <row r="2852" spans="1:4" x14ac:dyDescent="0.25">
      <c r="A2852" s="89" t="s">
        <v>89</v>
      </c>
      <c r="B2852" s="89" t="s">
        <v>617</v>
      </c>
      <c r="C2852" s="89">
        <v>1710684</v>
      </c>
      <c r="D2852" s="89" t="s">
        <v>666</v>
      </c>
    </row>
    <row r="2853" spans="1:4" x14ac:dyDescent="0.25">
      <c r="A2853" s="89" t="s">
        <v>89</v>
      </c>
      <c r="B2853" s="89" t="s">
        <v>617</v>
      </c>
      <c r="C2853" s="89">
        <v>18964849</v>
      </c>
      <c r="D2853" s="89" t="s">
        <v>664</v>
      </c>
    </row>
    <row r="2854" spans="1:4" x14ac:dyDescent="0.25">
      <c r="A2854" s="89" t="s">
        <v>89</v>
      </c>
      <c r="B2854" s="89" t="s">
        <v>617</v>
      </c>
      <c r="C2854" s="89">
        <v>5285089</v>
      </c>
      <c r="D2854" s="89" t="s">
        <v>664</v>
      </c>
    </row>
    <row r="2855" spans="1:4" x14ac:dyDescent="0.25">
      <c r="A2855" s="89" t="s">
        <v>89</v>
      </c>
      <c r="B2855" s="89" t="s">
        <v>617</v>
      </c>
      <c r="C2855" s="89">
        <v>192361</v>
      </c>
      <c r="D2855" s="89" t="s">
        <v>666</v>
      </c>
    </row>
    <row r="2856" spans="1:4" x14ac:dyDescent="0.25">
      <c r="A2856" s="89" t="s">
        <v>89</v>
      </c>
      <c r="B2856" s="89" t="s">
        <v>617</v>
      </c>
      <c r="C2856" s="89">
        <v>1559420</v>
      </c>
      <c r="D2856" s="89" t="s">
        <v>666</v>
      </c>
    </row>
    <row r="2857" spans="1:4" x14ac:dyDescent="0.25">
      <c r="A2857" s="89" t="s">
        <v>89</v>
      </c>
      <c r="B2857" s="89" t="s">
        <v>617</v>
      </c>
      <c r="C2857" s="89">
        <v>4949798.5199999996</v>
      </c>
      <c r="D2857" s="89" t="s">
        <v>664</v>
      </c>
    </row>
    <row r="2858" spans="1:4" x14ac:dyDescent="0.25">
      <c r="A2858" s="89" t="s">
        <v>89</v>
      </c>
      <c r="B2858" s="89" t="s">
        <v>617</v>
      </c>
      <c r="C2858" s="89">
        <v>39084205</v>
      </c>
      <c r="D2858" s="89" t="s">
        <v>664</v>
      </c>
    </row>
    <row r="2859" spans="1:4" x14ac:dyDescent="0.25">
      <c r="A2859" s="89" t="s">
        <v>89</v>
      </c>
      <c r="B2859" s="89" t="s">
        <v>617</v>
      </c>
      <c r="C2859" s="89">
        <v>5353609</v>
      </c>
      <c r="D2859" s="89" t="s">
        <v>666</v>
      </c>
    </row>
    <row r="2860" spans="1:4" x14ac:dyDescent="0.25">
      <c r="A2860" s="89" t="s">
        <v>89</v>
      </c>
      <c r="B2860" s="89" t="s">
        <v>617</v>
      </c>
      <c r="C2860" s="89">
        <v>1609220</v>
      </c>
      <c r="D2860" s="89" t="s">
        <v>666</v>
      </c>
    </row>
    <row r="2861" spans="1:4" x14ac:dyDescent="0.25">
      <c r="A2861" s="89" t="s">
        <v>89</v>
      </c>
      <c r="B2861" s="89" t="s">
        <v>617</v>
      </c>
      <c r="C2861" s="89">
        <v>6545422</v>
      </c>
      <c r="D2861" s="89" t="s">
        <v>663</v>
      </c>
    </row>
    <row r="2862" spans="1:4" x14ac:dyDescent="0.25">
      <c r="A2862" s="89" t="s">
        <v>687</v>
      </c>
      <c r="B2862" s="89" t="s">
        <v>617</v>
      </c>
      <c r="C2862" s="89">
        <v>7942321.46</v>
      </c>
      <c r="D2862" s="89" t="s">
        <v>664</v>
      </c>
    </row>
    <row r="2863" spans="1:4" x14ac:dyDescent="0.25">
      <c r="A2863" s="89" t="s">
        <v>687</v>
      </c>
      <c r="B2863" s="89" t="s">
        <v>617</v>
      </c>
      <c r="C2863" s="89">
        <v>1222110.3500000001</v>
      </c>
      <c r="D2863" s="89" t="s">
        <v>666</v>
      </c>
    </row>
    <row r="2864" spans="1:4" x14ac:dyDescent="0.25">
      <c r="A2864" s="89" t="s">
        <v>687</v>
      </c>
      <c r="B2864" s="89" t="s">
        <v>617</v>
      </c>
      <c r="C2864" s="89">
        <v>1066304.76</v>
      </c>
      <c r="D2864" s="89" t="s">
        <v>664</v>
      </c>
    </row>
    <row r="2865" spans="1:4" x14ac:dyDescent="0.25">
      <c r="A2865" s="89" t="s">
        <v>687</v>
      </c>
      <c r="B2865" s="89" t="s">
        <v>617</v>
      </c>
      <c r="C2865" s="89">
        <v>10730509.27</v>
      </c>
      <c r="D2865" s="89" t="s">
        <v>666</v>
      </c>
    </row>
    <row r="2866" spans="1:4" x14ac:dyDescent="0.25">
      <c r="A2866" s="89" t="s">
        <v>687</v>
      </c>
      <c r="B2866" s="89" t="s">
        <v>617</v>
      </c>
      <c r="C2866" s="89">
        <v>3468561.70518</v>
      </c>
      <c r="D2866" s="89" t="s">
        <v>666</v>
      </c>
    </row>
    <row r="2867" spans="1:4" x14ac:dyDescent="0.25">
      <c r="A2867" s="89" t="s">
        <v>687</v>
      </c>
      <c r="B2867" s="89" t="s">
        <v>617</v>
      </c>
      <c r="C2867" s="89">
        <v>716244.46</v>
      </c>
      <c r="D2867" s="89" t="s">
        <v>664</v>
      </c>
    </row>
    <row r="2868" spans="1:4" x14ac:dyDescent="0.25">
      <c r="A2868" s="89" t="s">
        <v>686</v>
      </c>
      <c r="B2868" s="89" t="s">
        <v>616</v>
      </c>
      <c r="C2868" s="89">
        <v>552167</v>
      </c>
      <c r="D2868" s="89" t="s">
        <v>666</v>
      </c>
    </row>
    <row r="2869" spans="1:4" x14ac:dyDescent="0.25">
      <c r="A2869" s="89" t="s">
        <v>686</v>
      </c>
      <c r="B2869" s="89" t="s">
        <v>616</v>
      </c>
      <c r="C2869" s="89">
        <v>299411.83</v>
      </c>
      <c r="D2869" s="89" t="s">
        <v>666</v>
      </c>
    </row>
    <row r="2870" spans="1:4" x14ac:dyDescent="0.25">
      <c r="A2870" s="89" t="s">
        <v>686</v>
      </c>
      <c r="B2870" s="89" t="s">
        <v>616</v>
      </c>
      <c r="C2870" s="89">
        <v>207980.86</v>
      </c>
      <c r="D2870" s="89" t="s">
        <v>666</v>
      </c>
    </row>
    <row r="2871" spans="1:4" x14ac:dyDescent="0.25">
      <c r="A2871" s="89" t="s">
        <v>686</v>
      </c>
      <c r="B2871" s="89" t="s">
        <v>616</v>
      </c>
      <c r="C2871" s="89">
        <v>785800.48</v>
      </c>
      <c r="D2871" s="89" t="s">
        <v>663</v>
      </c>
    </row>
    <row r="2872" spans="1:4" x14ac:dyDescent="0.25">
      <c r="A2872" s="89" t="s">
        <v>686</v>
      </c>
      <c r="B2872" s="89" t="s">
        <v>616</v>
      </c>
      <c r="C2872" s="89">
        <v>744757.65</v>
      </c>
      <c r="D2872" s="89" t="s">
        <v>663</v>
      </c>
    </row>
    <row r="2873" spans="1:4" x14ac:dyDescent="0.25">
      <c r="A2873" s="89" t="s">
        <v>686</v>
      </c>
      <c r="B2873" s="89" t="s">
        <v>616</v>
      </c>
      <c r="C2873" s="89">
        <v>521138.75</v>
      </c>
      <c r="D2873" s="89" t="s">
        <v>663</v>
      </c>
    </row>
    <row r="2874" spans="1:4" x14ac:dyDescent="0.25">
      <c r="A2874" s="89" t="s">
        <v>686</v>
      </c>
      <c r="B2874" s="89" t="s">
        <v>616</v>
      </c>
      <c r="C2874" s="89">
        <v>591637.11</v>
      </c>
      <c r="D2874" s="89" t="s">
        <v>666</v>
      </c>
    </row>
    <row r="2875" spans="1:4" x14ac:dyDescent="0.25">
      <c r="A2875" s="89" t="s">
        <v>686</v>
      </c>
      <c r="B2875" s="89" t="s">
        <v>616</v>
      </c>
      <c r="C2875" s="89">
        <v>483861.92</v>
      </c>
      <c r="D2875" s="89" t="s">
        <v>666</v>
      </c>
    </row>
    <row r="2876" spans="1:4" x14ac:dyDescent="0.25">
      <c r="A2876" s="89" t="s">
        <v>686</v>
      </c>
      <c r="B2876" s="89" t="s">
        <v>616</v>
      </c>
      <c r="C2876" s="89">
        <v>606374.18999999994</v>
      </c>
      <c r="D2876" s="89" t="s">
        <v>666</v>
      </c>
    </row>
    <row r="2877" spans="1:4" x14ac:dyDescent="0.25">
      <c r="A2877" s="89" t="s">
        <v>686</v>
      </c>
      <c r="B2877" s="89" t="s">
        <v>616</v>
      </c>
      <c r="C2877" s="89">
        <v>163697</v>
      </c>
      <c r="D2877" s="89" t="s">
        <v>666</v>
      </c>
    </row>
    <row r="2878" spans="1:4" x14ac:dyDescent="0.25">
      <c r="A2878" s="89" t="s">
        <v>686</v>
      </c>
      <c r="B2878" s="89" t="s">
        <v>616</v>
      </c>
      <c r="C2878" s="89">
        <v>407754.57</v>
      </c>
      <c r="D2878" s="89" t="s">
        <v>666</v>
      </c>
    </row>
    <row r="2879" spans="1:4" x14ac:dyDescent="0.25">
      <c r="A2879" s="89" t="s">
        <v>686</v>
      </c>
      <c r="B2879" s="89" t="s">
        <v>616</v>
      </c>
      <c r="C2879" s="89">
        <v>491389.27</v>
      </c>
      <c r="D2879" s="89" t="s">
        <v>666</v>
      </c>
    </row>
    <row r="2880" spans="1:4" x14ac:dyDescent="0.25">
      <c r="A2880" s="89" t="s">
        <v>686</v>
      </c>
      <c r="B2880" s="89" t="s">
        <v>616</v>
      </c>
      <c r="C2880" s="89">
        <v>835715.53</v>
      </c>
      <c r="D2880" s="89" t="s">
        <v>663</v>
      </c>
    </row>
    <row r="2881" spans="1:4" x14ac:dyDescent="0.25">
      <c r="A2881" s="89" t="s">
        <v>172</v>
      </c>
      <c r="B2881" s="89" t="s">
        <v>617</v>
      </c>
      <c r="C2881" s="89">
        <v>554500</v>
      </c>
      <c r="D2881" s="89" t="s">
        <v>664</v>
      </c>
    </row>
    <row r="2882" spans="1:4" x14ac:dyDescent="0.25">
      <c r="A2882" s="89" t="s">
        <v>172</v>
      </c>
      <c r="B2882" s="89" t="s">
        <v>617</v>
      </c>
      <c r="C2882" s="89">
        <v>502523</v>
      </c>
      <c r="D2882" s="89" t="s">
        <v>666</v>
      </c>
    </row>
    <row r="2883" spans="1:4" x14ac:dyDescent="0.25">
      <c r="A2883" s="89" t="s">
        <v>172</v>
      </c>
      <c r="B2883" s="89" t="s">
        <v>617</v>
      </c>
      <c r="C2883" s="89">
        <v>506450</v>
      </c>
      <c r="D2883" s="89" t="s">
        <v>666</v>
      </c>
    </row>
    <row r="2884" spans="1:4" x14ac:dyDescent="0.25">
      <c r="A2884" s="89" t="s">
        <v>172</v>
      </c>
      <c r="B2884" s="89" t="s">
        <v>617</v>
      </c>
      <c r="C2884" s="89">
        <v>253476</v>
      </c>
      <c r="D2884" s="89" t="s">
        <v>666</v>
      </c>
    </row>
    <row r="2885" spans="1:4" x14ac:dyDescent="0.25">
      <c r="A2885" s="89" t="s">
        <v>172</v>
      </c>
      <c r="B2885" s="89" t="s">
        <v>617</v>
      </c>
      <c r="C2885" s="89">
        <v>2496500</v>
      </c>
      <c r="D2885" s="89" t="s">
        <v>663</v>
      </c>
    </row>
    <row r="2886" spans="1:4" x14ac:dyDescent="0.25">
      <c r="A2886" s="89" t="s">
        <v>172</v>
      </c>
      <c r="B2886" s="89" t="s">
        <v>617</v>
      </c>
      <c r="C2886" s="89">
        <v>1669660</v>
      </c>
      <c r="D2886" s="89" t="s">
        <v>663</v>
      </c>
    </row>
    <row r="2887" spans="1:4" x14ac:dyDescent="0.25">
      <c r="A2887" s="89" t="s">
        <v>172</v>
      </c>
      <c r="B2887" s="89" t="s">
        <v>617</v>
      </c>
      <c r="C2887" s="89">
        <v>1315726.55</v>
      </c>
      <c r="D2887" s="89" t="s">
        <v>663</v>
      </c>
    </row>
    <row r="2888" spans="1:4" x14ac:dyDescent="0.25">
      <c r="A2888" s="89" t="s">
        <v>172</v>
      </c>
      <c r="B2888" s="89" t="s">
        <v>617</v>
      </c>
      <c r="C2888" s="89">
        <v>378845</v>
      </c>
      <c r="D2888" s="89" t="s">
        <v>664</v>
      </c>
    </row>
    <row r="2889" spans="1:4" x14ac:dyDescent="0.25">
      <c r="A2889" s="89" t="s">
        <v>172</v>
      </c>
      <c r="B2889" s="89" t="s">
        <v>617</v>
      </c>
      <c r="C2889" s="89">
        <v>3959442</v>
      </c>
      <c r="D2889" s="89" t="s">
        <v>663</v>
      </c>
    </row>
    <row r="2890" spans="1:4" x14ac:dyDescent="0.25">
      <c r="A2890" s="89" t="s">
        <v>172</v>
      </c>
      <c r="B2890" s="89" t="s">
        <v>617</v>
      </c>
      <c r="C2890" s="89">
        <v>172070</v>
      </c>
      <c r="D2890" s="89" t="s">
        <v>664</v>
      </c>
    </row>
    <row r="2891" spans="1:4" x14ac:dyDescent="0.25">
      <c r="A2891" s="89" t="s">
        <v>172</v>
      </c>
      <c r="B2891" s="89" t="s">
        <v>617</v>
      </c>
      <c r="C2891" s="89">
        <v>639828</v>
      </c>
      <c r="D2891" s="89" t="s">
        <v>663</v>
      </c>
    </row>
    <row r="2892" spans="1:4" x14ac:dyDescent="0.25">
      <c r="A2892" s="89" t="s">
        <v>172</v>
      </c>
      <c r="B2892" s="89" t="s">
        <v>617</v>
      </c>
      <c r="C2892" s="89">
        <v>410675</v>
      </c>
      <c r="D2892" s="89" t="s">
        <v>664</v>
      </c>
    </row>
    <row r="2893" spans="1:4" x14ac:dyDescent="0.25">
      <c r="A2893" s="89" t="s">
        <v>172</v>
      </c>
      <c r="B2893" s="89" t="s">
        <v>617</v>
      </c>
      <c r="C2893" s="89">
        <v>345774</v>
      </c>
      <c r="D2893" s="89" t="s">
        <v>666</v>
      </c>
    </row>
    <row r="2894" spans="1:4" x14ac:dyDescent="0.25">
      <c r="A2894" s="89" t="s">
        <v>172</v>
      </c>
      <c r="B2894" s="89" t="s">
        <v>617</v>
      </c>
      <c r="C2894" s="89">
        <v>1901476</v>
      </c>
      <c r="D2894" s="89" t="s">
        <v>666</v>
      </c>
    </row>
    <row r="2895" spans="1:4" x14ac:dyDescent="0.25">
      <c r="A2895" s="89" t="s">
        <v>172</v>
      </c>
      <c r="B2895" s="89" t="s">
        <v>617</v>
      </c>
      <c r="C2895" s="89">
        <v>85530</v>
      </c>
      <c r="D2895" s="89" t="s">
        <v>666</v>
      </c>
    </row>
    <row r="2896" spans="1:4" x14ac:dyDescent="0.25">
      <c r="A2896" s="89" t="s">
        <v>172</v>
      </c>
      <c r="B2896" s="89" t="s">
        <v>617</v>
      </c>
      <c r="C2896" s="89">
        <v>93705</v>
      </c>
      <c r="D2896" s="89" t="s">
        <v>666</v>
      </c>
    </row>
    <row r="2897" spans="1:4" x14ac:dyDescent="0.25">
      <c r="A2897" s="89" t="s">
        <v>172</v>
      </c>
      <c r="B2897" s="89" t="s">
        <v>617</v>
      </c>
      <c r="C2897" s="89">
        <v>110157</v>
      </c>
      <c r="D2897" s="89" t="s">
        <v>666</v>
      </c>
    </row>
    <row r="2898" spans="1:4" x14ac:dyDescent="0.25">
      <c r="A2898" s="89" t="s">
        <v>172</v>
      </c>
      <c r="B2898" s="89" t="s">
        <v>617</v>
      </c>
      <c r="C2898" s="89">
        <v>283985</v>
      </c>
      <c r="D2898" s="89" t="s">
        <v>663</v>
      </c>
    </row>
    <row r="2899" spans="1:4" x14ac:dyDescent="0.25">
      <c r="A2899" s="89" t="s">
        <v>172</v>
      </c>
      <c r="B2899" s="89" t="s">
        <v>617</v>
      </c>
      <c r="C2899" s="89">
        <v>593400</v>
      </c>
      <c r="D2899" s="89" t="s">
        <v>666</v>
      </c>
    </row>
    <row r="2900" spans="1:4" x14ac:dyDescent="0.25">
      <c r="A2900" s="89" t="s">
        <v>172</v>
      </c>
      <c r="B2900" s="89" t="s">
        <v>617</v>
      </c>
      <c r="C2900" s="89">
        <v>1688665.98</v>
      </c>
      <c r="D2900" s="89" t="s">
        <v>663</v>
      </c>
    </row>
    <row r="2901" spans="1:4" x14ac:dyDescent="0.25">
      <c r="A2901" s="89" t="s">
        <v>172</v>
      </c>
      <c r="B2901" s="89" t="s">
        <v>617</v>
      </c>
      <c r="C2901" s="89">
        <v>812662</v>
      </c>
      <c r="D2901" s="89" t="s">
        <v>663</v>
      </c>
    </row>
    <row r="2902" spans="1:4" x14ac:dyDescent="0.25">
      <c r="A2902" s="89" t="s">
        <v>172</v>
      </c>
      <c r="B2902" s="89" t="s">
        <v>617</v>
      </c>
      <c r="C2902" s="89">
        <v>833661</v>
      </c>
      <c r="D2902" s="89" t="s">
        <v>663</v>
      </c>
    </row>
    <row r="2903" spans="1:4" x14ac:dyDescent="0.25">
      <c r="A2903" s="89" t="s">
        <v>172</v>
      </c>
      <c r="B2903" s="89" t="s">
        <v>617</v>
      </c>
      <c r="C2903" s="89">
        <v>1043102</v>
      </c>
      <c r="D2903" s="89" t="s">
        <v>666</v>
      </c>
    </row>
    <row r="2904" spans="1:4" x14ac:dyDescent="0.25">
      <c r="A2904" s="89" t="s">
        <v>172</v>
      </c>
      <c r="B2904" s="89" t="s">
        <v>617</v>
      </c>
      <c r="C2904" s="89">
        <v>4997122</v>
      </c>
      <c r="D2904" s="89" t="s">
        <v>663</v>
      </c>
    </row>
    <row r="2905" spans="1:4" x14ac:dyDescent="0.25">
      <c r="A2905" s="89" t="s">
        <v>172</v>
      </c>
      <c r="B2905" s="89" t="s">
        <v>617</v>
      </c>
      <c r="C2905" s="89">
        <v>4013003</v>
      </c>
      <c r="D2905" s="89" t="s">
        <v>663</v>
      </c>
    </row>
    <row r="2906" spans="1:4" x14ac:dyDescent="0.25">
      <c r="A2906" s="89" t="s">
        <v>172</v>
      </c>
      <c r="B2906" s="89" t="s">
        <v>617</v>
      </c>
      <c r="C2906" s="89">
        <v>2074280</v>
      </c>
      <c r="D2906" s="89" t="s">
        <v>666</v>
      </c>
    </row>
    <row r="2907" spans="1:4" x14ac:dyDescent="0.25">
      <c r="A2907" s="89" t="s">
        <v>172</v>
      </c>
      <c r="B2907" s="89" t="s">
        <v>617</v>
      </c>
      <c r="C2907" s="89">
        <v>750996</v>
      </c>
      <c r="D2907" s="89" t="s">
        <v>664</v>
      </c>
    </row>
    <row r="2908" spans="1:4" x14ac:dyDescent="0.25">
      <c r="A2908" s="89" t="s">
        <v>172</v>
      </c>
      <c r="B2908" s="89" t="s">
        <v>617</v>
      </c>
      <c r="C2908" s="89">
        <v>612388</v>
      </c>
      <c r="D2908" s="89" t="s">
        <v>666</v>
      </c>
    </row>
    <row r="2909" spans="1:4" x14ac:dyDescent="0.25">
      <c r="A2909" s="89" t="s">
        <v>172</v>
      </c>
      <c r="B2909" s="89" t="s">
        <v>617</v>
      </c>
      <c r="C2909" s="89">
        <v>759045</v>
      </c>
      <c r="D2909" s="89" t="s">
        <v>664</v>
      </c>
    </row>
    <row r="2910" spans="1:4" x14ac:dyDescent="0.25">
      <c r="A2910" s="89" t="s">
        <v>172</v>
      </c>
      <c r="B2910" s="89" t="s">
        <v>617</v>
      </c>
      <c r="C2910" s="89">
        <v>602745</v>
      </c>
      <c r="D2910" s="89" t="s">
        <v>664</v>
      </c>
    </row>
    <row r="2911" spans="1:4" x14ac:dyDescent="0.25">
      <c r="A2911" s="89" t="s">
        <v>172</v>
      </c>
      <c r="B2911" s="89" t="s">
        <v>617</v>
      </c>
      <c r="C2911" s="89">
        <v>1300000</v>
      </c>
      <c r="D2911" s="89" t="s">
        <v>666</v>
      </c>
    </row>
    <row r="2912" spans="1:4" x14ac:dyDescent="0.25">
      <c r="A2912" s="89" t="s">
        <v>172</v>
      </c>
      <c r="B2912" s="89" t="s">
        <v>617</v>
      </c>
      <c r="C2912" s="89">
        <v>365585</v>
      </c>
      <c r="D2912" s="89" t="s">
        <v>666</v>
      </c>
    </row>
    <row r="2913" spans="1:4" x14ac:dyDescent="0.25">
      <c r="A2913" s="89" t="s">
        <v>172</v>
      </c>
      <c r="B2913" s="89" t="s">
        <v>617</v>
      </c>
      <c r="C2913" s="89">
        <v>1352325</v>
      </c>
      <c r="D2913" s="89" t="s">
        <v>663</v>
      </c>
    </row>
    <row r="2914" spans="1:4" x14ac:dyDescent="0.25">
      <c r="A2914" s="89" t="s">
        <v>172</v>
      </c>
      <c r="B2914" s="89" t="s">
        <v>617</v>
      </c>
      <c r="C2914" s="89">
        <v>350173.7</v>
      </c>
      <c r="D2914" s="89" t="s">
        <v>666</v>
      </c>
    </row>
    <row r="2915" spans="1:4" x14ac:dyDescent="0.25">
      <c r="A2915" s="89" t="s">
        <v>172</v>
      </c>
      <c r="B2915" s="89" t="s">
        <v>617</v>
      </c>
      <c r="C2915" s="89">
        <v>415943</v>
      </c>
      <c r="D2915" s="89" t="s">
        <v>664</v>
      </c>
    </row>
    <row r="2916" spans="1:4" x14ac:dyDescent="0.25">
      <c r="A2916" s="89" t="s">
        <v>172</v>
      </c>
      <c r="B2916" s="89" t="s">
        <v>617</v>
      </c>
      <c r="C2916" s="89">
        <v>3457365</v>
      </c>
      <c r="D2916" s="89" t="s">
        <v>663</v>
      </c>
    </row>
    <row r="2917" spans="1:4" x14ac:dyDescent="0.25">
      <c r="A2917" s="89" t="s">
        <v>172</v>
      </c>
      <c r="B2917" s="89" t="s">
        <v>617</v>
      </c>
      <c r="C2917" s="89">
        <v>438346</v>
      </c>
      <c r="D2917" s="89" t="s">
        <v>666</v>
      </c>
    </row>
    <row r="2918" spans="1:4" x14ac:dyDescent="0.25">
      <c r="A2918" s="89" t="s">
        <v>172</v>
      </c>
      <c r="B2918" s="89" t="s">
        <v>617</v>
      </c>
      <c r="C2918" s="89">
        <v>50000</v>
      </c>
      <c r="D2918" s="89" t="s">
        <v>666</v>
      </c>
    </row>
    <row r="2919" spans="1:4" x14ac:dyDescent="0.25">
      <c r="A2919" s="89" t="s">
        <v>172</v>
      </c>
      <c r="B2919" s="89" t="s">
        <v>617</v>
      </c>
      <c r="C2919" s="89">
        <v>588920.89</v>
      </c>
      <c r="D2919" s="89" t="s">
        <v>663</v>
      </c>
    </row>
    <row r="2920" spans="1:4" x14ac:dyDescent="0.25">
      <c r="A2920" s="89" t="s">
        <v>172</v>
      </c>
      <c r="B2920" s="89" t="s">
        <v>617</v>
      </c>
      <c r="C2920" s="89">
        <v>50000</v>
      </c>
      <c r="D2920" s="89" t="s">
        <v>666</v>
      </c>
    </row>
    <row r="2921" spans="1:4" x14ac:dyDescent="0.25">
      <c r="A2921" s="89" t="s">
        <v>172</v>
      </c>
      <c r="B2921" s="89" t="s">
        <v>617</v>
      </c>
      <c r="C2921" s="89">
        <v>1070379</v>
      </c>
      <c r="D2921" s="89" t="s">
        <v>666</v>
      </c>
    </row>
    <row r="2922" spans="1:4" x14ac:dyDescent="0.25">
      <c r="A2922" s="89" t="s">
        <v>172</v>
      </c>
      <c r="B2922" s="89" t="s">
        <v>617</v>
      </c>
      <c r="C2922" s="89">
        <v>1074765</v>
      </c>
      <c r="D2922" s="89" t="s">
        <v>664</v>
      </c>
    </row>
    <row r="2923" spans="1:4" x14ac:dyDescent="0.25">
      <c r="A2923" s="89" t="s">
        <v>172</v>
      </c>
      <c r="B2923" s="89" t="s">
        <v>617</v>
      </c>
      <c r="C2923" s="89">
        <v>455876.97</v>
      </c>
      <c r="D2923" s="89" t="s">
        <v>666</v>
      </c>
    </row>
    <row r="2924" spans="1:4" x14ac:dyDescent="0.25">
      <c r="A2924" s="89" t="s">
        <v>685</v>
      </c>
      <c r="B2924" s="89" t="s">
        <v>616</v>
      </c>
      <c r="C2924" s="89">
        <v>1069544</v>
      </c>
      <c r="D2924" s="89" t="s">
        <v>664</v>
      </c>
    </row>
    <row r="2925" spans="1:4" x14ac:dyDescent="0.25">
      <c r="A2925" s="89" t="s">
        <v>685</v>
      </c>
      <c r="B2925" s="89" t="s">
        <v>616</v>
      </c>
      <c r="C2925" s="89">
        <v>130804</v>
      </c>
      <c r="D2925" s="89" t="s">
        <v>666</v>
      </c>
    </row>
    <row r="2926" spans="1:4" x14ac:dyDescent="0.25">
      <c r="A2926" s="89" t="s">
        <v>685</v>
      </c>
      <c r="B2926" s="89" t="s">
        <v>616</v>
      </c>
      <c r="C2926" s="89">
        <v>206490.22</v>
      </c>
      <c r="D2926" s="89" t="s">
        <v>663</v>
      </c>
    </row>
    <row r="2927" spans="1:4" x14ac:dyDescent="0.25">
      <c r="A2927" s="89" t="s">
        <v>685</v>
      </c>
      <c r="B2927" s="89" t="s">
        <v>616</v>
      </c>
      <c r="C2927" s="89">
        <v>155047</v>
      </c>
      <c r="D2927" s="89" t="s">
        <v>663</v>
      </c>
    </row>
    <row r="2928" spans="1:4" x14ac:dyDescent="0.25">
      <c r="A2928" s="89" t="s">
        <v>685</v>
      </c>
      <c r="B2928" s="89" t="s">
        <v>616</v>
      </c>
      <c r="C2928" s="89">
        <v>52666</v>
      </c>
      <c r="D2928" s="89" t="s">
        <v>663</v>
      </c>
    </row>
    <row r="2929" spans="1:4" x14ac:dyDescent="0.25">
      <c r="A2929" s="89" t="s">
        <v>685</v>
      </c>
      <c r="B2929" s="89" t="s">
        <v>616</v>
      </c>
      <c r="C2929" s="89">
        <v>226587.11</v>
      </c>
      <c r="D2929" s="89" t="s">
        <v>664</v>
      </c>
    </row>
    <row r="2930" spans="1:4" x14ac:dyDescent="0.25">
      <c r="A2930" s="89" t="s">
        <v>685</v>
      </c>
      <c r="B2930" s="89" t="s">
        <v>616</v>
      </c>
      <c r="C2930" s="89">
        <v>146536.76</v>
      </c>
      <c r="D2930" s="89" t="s">
        <v>666</v>
      </c>
    </row>
    <row r="2931" spans="1:4" x14ac:dyDescent="0.25">
      <c r="A2931" s="89" t="s">
        <v>685</v>
      </c>
      <c r="B2931" s="89" t="s">
        <v>616</v>
      </c>
      <c r="C2931" s="89">
        <v>229754.18</v>
      </c>
      <c r="D2931" s="89" t="s">
        <v>663</v>
      </c>
    </row>
    <row r="2932" spans="1:4" x14ac:dyDescent="0.25">
      <c r="A2932" s="89" t="s">
        <v>685</v>
      </c>
      <c r="B2932" s="89" t="s">
        <v>616</v>
      </c>
      <c r="C2932" s="89">
        <v>361897</v>
      </c>
      <c r="D2932" s="89" t="s">
        <v>666</v>
      </c>
    </row>
    <row r="2933" spans="1:4" x14ac:dyDescent="0.25">
      <c r="A2933" s="89" t="s">
        <v>685</v>
      </c>
      <c r="B2933" s="89" t="s">
        <v>616</v>
      </c>
      <c r="C2933" s="89">
        <v>260860</v>
      </c>
      <c r="D2933" s="89" t="s">
        <v>664</v>
      </c>
    </row>
    <row r="2934" spans="1:4" x14ac:dyDescent="0.25">
      <c r="A2934" s="89" t="s">
        <v>685</v>
      </c>
      <c r="B2934" s="89" t="s">
        <v>616</v>
      </c>
      <c r="C2934" s="89">
        <v>426521</v>
      </c>
      <c r="D2934" s="89" t="s">
        <v>664</v>
      </c>
    </row>
    <row r="2935" spans="1:4" x14ac:dyDescent="0.25">
      <c r="A2935" s="89" t="s">
        <v>685</v>
      </c>
      <c r="B2935" s="89" t="s">
        <v>616</v>
      </c>
      <c r="C2935" s="89">
        <v>140265</v>
      </c>
      <c r="D2935" s="89" t="s">
        <v>663</v>
      </c>
    </row>
    <row r="2936" spans="1:4" x14ac:dyDescent="0.25">
      <c r="A2936" s="89" t="s">
        <v>685</v>
      </c>
      <c r="B2936" s="89" t="s">
        <v>616</v>
      </c>
      <c r="C2936" s="89">
        <v>352363</v>
      </c>
      <c r="D2936" s="89" t="s">
        <v>663</v>
      </c>
    </row>
    <row r="2937" spans="1:4" x14ac:dyDescent="0.25">
      <c r="A2937" s="89" t="s">
        <v>685</v>
      </c>
      <c r="B2937" s="89" t="s">
        <v>616</v>
      </c>
      <c r="C2937" s="89">
        <v>250295</v>
      </c>
      <c r="D2937" s="89" t="s">
        <v>666</v>
      </c>
    </row>
    <row r="2938" spans="1:4" x14ac:dyDescent="0.25">
      <c r="A2938" s="89" t="s">
        <v>685</v>
      </c>
      <c r="B2938" s="89" t="s">
        <v>616</v>
      </c>
      <c r="C2938" s="89">
        <v>60569</v>
      </c>
      <c r="D2938" s="89" t="s">
        <v>663</v>
      </c>
    </row>
    <row r="2939" spans="1:4" x14ac:dyDescent="0.25">
      <c r="A2939" s="89" t="s">
        <v>685</v>
      </c>
      <c r="B2939" s="89" t="s">
        <v>616</v>
      </c>
      <c r="C2939" s="89">
        <v>170268</v>
      </c>
      <c r="D2939" s="89" t="s">
        <v>663</v>
      </c>
    </row>
    <row r="2940" spans="1:4" x14ac:dyDescent="0.25">
      <c r="A2940" s="89" t="s">
        <v>685</v>
      </c>
      <c r="B2940" s="89" t="s">
        <v>616</v>
      </c>
      <c r="C2940" s="89">
        <v>322156</v>
      </c>
      <c r="D2940" s="89" t="s">
        <v>666</v>
      </c>
    </row>
    <row r="2941" spans="1:4" x14ac:dyDescent="0.25">
      <c r="A2941" s="89" t="s">
        <v>685</v>
      </c>
      <c r="B2941" s="89" t="s">
        <v>616</v>
      </c>
      <c r="C2941" s="89">
        <v>1410452</v>
      </c>
      <c r="D2941" s="89" t="s">
        <v>663</v>
      </c>
    </row>
    <row r="2942" spans="1:4" x14ac:dyDescent="0.25">
      <c r="A2942" s="89" t="s">
        <v>685</v>
      </c>
      <c r="B2942" s="89" t="s">
        <v>616</v>
      </c>
      <c r="C2942" s="89">
        <v>2000394</v>
      </c>
      <c r="D2942" s="89" t="s">
        <v>664</v>
      </c>
    </row>
    <row r="2943" spans="1:4" x14ac:dyDescent="0.25">
      <c r="A2943" s="89" t="s">
        <v>685</v>
      </c>
      <c r="B2943" s="89" t="s">
        <v>616</v>
      </c>
      <c r="C2943" s="89">
        <v>187741.85</v>
      </c>
      <c r="D2943" s="89" t="s">
        <v>663</v>
      </c>
    </row>
    <row r="2944" spans="1:4" x14ac:dyDescent="0.25">
      <c r="A2944" s="89" t="s">
        <v>685</v>
      </c>
      <c r="B2944" s="89" t="s">
        <v>616</v>
      </c>
      <c r="C2944" s="89">
        <v>250000</v>
      </c>
      <c r="D2944" s="89" t="s">
        <v>666</v>
      </c>
    </row>
    <row r="2945" spans="1:4" x14ac:dyDescent="0.25">
      <c r="A2945" s="89" t="s">
        <v>685</v>
      </c>
      <c r="B2945" s="89" t="s">
        <v>616</v>
      </c>
      <c r="C2945" s="89">
        <v>250000</v>
      </c>
      <c r="D2945" s="89" t="s">
        <v>663</v>
      </c>
    </row>
    <row r="2946" spans="1:4" x14ac:dyDescent="0.25">
      <c r="A2946" s="89" t="s">
        <v>685</v>
      </c>
      <c r="B2946" s="89" t="s">
        <v>616</v>
      </c>
      <c r="C2946" s="89">
        <v>209567</v>
      </c>
      <c r="D2946" s="89" t="s">
        <v>663</v>
      </c>
    </row>
    <row r="2947" spans="1:4" x14ac:dyDescent="0.25">
      <c r="A2947" s="89" t="s">
        <v>685</v>
      </c>
      <c r="B2947" s="89" t="s">
        <v>616</v>
      </c>
      <c r="C2947" s="89">
        <v>2777480</v>
      </c>
      <c r="D2947" s="89" t="s">
        <v>664</v>
      </c>
    </row>
    <row r="2948" spans="1:4" x14ac:dyDescent="0.25">
      <c r="A2948" s="89" t="s">
        <v>685</v>
      </c>
      <c r="B2948" s="89" t="s">
        <v>616</v>
      </c>
      <c r="C2948" s="89">
        <v>416506.82</v>
      </c>
      <c r="D2948" s="89" t="s">
        <v>666</v>
      </c>
    </row>
    <row r="2949" spans="1:4" x14ac:dyDescent="0.25">
      <c r="A2949" s="89" t="s">
        <v>685</v>
      </c>
      <c r="B2949" s="89" t="s">
        <v>616</v>
      </c>
      <c r="C2949" s="89">
        <v>760432.1</v>
      </c>
      <c r="D2949" s="89" t="s">
        <v>664</v>
      </c>
    </row>
    <row r="2950" spans="1:4" x14ac:dyDescent="0.25">
      <c r="A2950" s="89" t="s">
        <v>685</v>
      </c>
      <c r="B2950" s="89" t="s">
        <v>616</v>
      </c>
      <c r="C2950" s="89">
        <v>929155.83</v>
      </c>
      <c r="D2950" s="89" t="s">
        <v>663</v>
      </c>
    </row>
    <row r="2951" spans="1:4" x14ac:dyDescent="0.25">
      <c r="A2951" s="89" t="s">
        <v>685</v>
      </c>
      <c r="B2951" s="89" t="s">
        <v>616</v>
      </c>
      <c r="C2951" s="89">
        <v>-90995.96</v>
      </c>
      <c r="D2951" s="89" t="s">
        <v>666</v>
      </c>
    </row>
    <row r="2952" spans="1:4" x14ac:dyDescent="0.25">
      <c r="A2952" s="89" t="s">
        <v>685</v>
      </c>
      <c r="B2952" s="89" t="s">
        <v>616</v>
      </c>
      <c r="C2952" s="89">
        <v>703383.78</v>
      </c>
      <c r="D2952" s="89" t="s">
        <v>664</v>
      </c>
    </row>
    <row r="2953" spans="1:4" x14ac:dyDescent="0.25">
      <c r="A2953" s="89" t="s">
        <v>685</v>
      </c>
      <c r="B2953" s="89" t="s">
        <v>616</v>
      </c>
      <c r="C2953" s="89">
        <v>2470735.89</v>
      </c>
      <c r="D2953" s="89" t="s">
        <v>664</v>
      </c>
    </row>
    <row r="2954" spans="1:4" x14ac:dyDescent="0.25">
      <c r="A2954" s="89" t="s">
        <v>685</v>
      </c>
      <c r="B2954" s="89" t="s">
        <v>616</v>
      </c>
      <c r="C2954" s="89">
        <v>567044.46</v>
      </c>
      <c r="D2954" s="89" t="s">
        <v>663</v>
      </c>
    </row>
    <row r="2955" spans="1:4" x14ac:dyDescent="0.25">
      <c r="A2955" s="89" t="s">
        <v>685</v>
      </c>
      <c r="B2955" s="89" t="s">
        <v>616</v>
      </c>
      <c r="C2955" s="89">
        <v>286040.59000000003</v>
      </c>
      <c r="D2955" s="89" t="s">
        <v>666</v>
      </c>
    </row>
    <row r="2956" spans="1:4" x14ac:dyDescent="0.25">
      <c r="A2956" s="89" t="s">
        <v>685</v>
      </c>
      <c r="B2956" s="89" t="s">
        <v>616</v>
      </c>
      <c r="C2956" s="89">
        <v>1675850.32</v>
      </c>
      <c r="D2956" s="89" t="s">
        <v>664</v>
      </c>
    </row>
    <row r="2957" spans="1:4" x14ac:dyDescent="0.25">
      <c r="A2957" s="89" t="s">
        <v>685</v>
      </c>
      <c r="B2957" s="89" t="s">
        <v>616</v>
      </c>
      <c r="C2957" s="89">
        <v>737337</v>
      </c>
      <c r="D2957" s="89" t="s">
        <v>666</v>
      </c>
    </row>
    <row r="2958" spans="1:4" x14ac:dyDescent="0.25">
      <c r="A2958" s="89" t="s">
        <v>685</v>
      </c>
      <c r="B2958" s="89" t="s">
        <v>616</v>
      </c>
      <c r="C2958" s="89">
        <v>22418.36</v>
      </c>
      <c r="D2958" s="89" t="s">
        <v>663</v>
      </c>
    </row>
    <row r="2959" spans="1:4" x14ac:dyDescent="0.25">
      <c r="A2959" s="89" t="s">
        <v>685</v>
      </c>
      <c r="B2959" s="89" t="s">
        <v>616</v>
      </c>
      <c r="C2959" s="89">
        <v>1226787</v>
      </c>
      <c r="D2959" s="89" t="s">
        <v>664</v>
      </c>
    </row>
    <row r="2960" spans="1:4" x14ac:dyDescent="0.25">
      <c r="A2960" s="89" t="s">
        <v>685</v>
      </c>
      <c r="B2960" s="89" t="s">
        <v>616</v>
      </c>
      <c r="C2960" s="89">
        <v>452851.7</v>
      </c>
      <c r="D2960" s="89" t="s">
        <v>664</v>
      </c>
    </row>
    <row r="2961" spans="1:4" x14ac:dyDescent="0.25">
      <c r="A2961" s="89" t="s">
        <v>685</v>
      </c>
      <c r="B2961" s="89" t="s">
        <v>616</v>
      </c>
      <c r="C2961" s="89">
        <v>217340.11</v>
      </c>
      <c r="D2961" s="89" t="s">
        <v>666</v>
      </c>
    </row>
    <row r="2962" spans="1:4" x14ac:dyDescent="0.25">
      <c r="A2962" s="89" t="s">
        <v>685</v>
      </c>
      <c r="B2962" s="89" t="s">
        <v>616</v>
      </c>
      <c r="C2962" s="89">
        <v>549816.28</v>
      </c>
      <c r="D2962" s="89" t="s">
        <v>663</v>
      </c>
    </row>
    <row r="2963" spans="1:4" x14ac:dyDescent="0.25">
      <c r="A2963" s="89" t="s">
        <v>685</v>
      </c>
      <c r="B2963" s="89" t="s">
        <v>616</v>
      </c>
      <c r="C2963" s="89">
        <v>-28420.93</v>
      </c>
      <c r="D2963" s="89" t="s">
        <v>663</v>
      </c>
    </row>
    <row r="2964" spans="1:4" x14ac:dyDescent="0.25">
      <c r="A2964" s="89" t="s">
        <v>685</v>
      </c>
      <c r="B2964" s="89" t="s">
        <v>616</v>
      </c>
      <c r="C2964" s="89">
        <v>3069412.36</v>
      </c>
      <c r="D2964" s="89" t="s">
        <v>664</v>
      </c>
    </row>
    <row r="2965" spans="1:4" x14ac:dyDescent="0.25">
      <c r="A2965" s="89" t="s">
        <v>685</v>
      </c>
      <c r="B2965" s="89" t="s">
        <v>616</v>
      </c>
      <c r="C2965" s="89">
        <v>65581.64</v>
      </c>
      <c r="D2965" s="89" t="s">
        <v>663</v>
      </c>
    </row>
    <row r="2966" spans="1:4" x14ac:dyDescent="0.25">
      <c r="A2966" s="89" t="s">
        <v>685</v>
      </c>
      <c r="B2966" s="89" t="s">
        <v>616</v>
      </c>
      <c r="C2966" s="89">
        <v>4558861</v>
      </c>
      <c r="D2966" s="89" t="s">
        <v>663</v>
      </c>
    </row>
    <row r="2967" spans="1:4" x14ac:dyDescent="0.25">
      <c r="A2967" s="89" t="s">
        <v>685</v>
      </c>
      <c r="B2967" s="89" t="s">
        <v>616</v>
      </c>
      <c r="C2967" s="89">
        <v>192753.31</v>
      </c>
      <c r="D2967" s="89" t="s">
        <v>666</v>
      </c>
    </row>
    <row r="2968" spans="1:4" x14ac:dyDescent="0.25">
      <c r="A2968" s="89" t="s">
        <v>685</v>
      </c>
      <c r="B2968" s="89" t="s">
        <v>616</v>
      </c>
      <c r="C2968" s="89">
        <v>762890.61</v>
      </c>
      <c r="D2968" s="89" t="s">
        <v>666</v>
      </c>
    </row>
    <row r="2969" spans="1:4" x14ac:dyDescent="0.25">
      <c r="A2969" s="89" t="s">
        <v>685</v>
      </c>
      <c r="B2969" s="89" t="s">
        <v>616</v>
      </c>
      <c r="C2969" s="89">
        <v>81129</v>
      </c>
      <c r="D2969" s="89" t="s">
        <v>663</v>
      </c>
    </row>
    <row r="2970" spans="1:4" x14ac:dyDescent="0.25">
      <c r="A2970" s="89" t="s">
        <v>685</v>
      </c>
      <c r="B2970" s="89" t="s">
        <v>616</v>
      </c>
      <c r="C2970" s="89">
        <v>142403.34</v>
      </c>
      <c r="D2970" s="89" t="s">
        <v>664</v>
      </c>
    </row>
    <row r="2971" spans="1:4" x14ac:dyDescent="0.25">
      <c r="A2971" s="89" t="s">
        <v>685</v>
      </c>
      <c r="B2971" s="89" t="s">
        <v>616</v>
      </c>
      <c r="C2971" s="89">
        <v>427802</v>
      </c>
      <c r="D2971" s="89" t="s">
        <v>666</v>
      </c>
    </row>
    <row r="2972" spans="1:4" x14ac:dyDescent="0.25">
      <c r="A2972" s="89" t="s">
        <v>685</v>
      </c>
      <c r="B2972" s="89" t="s">
        <v>616</v>
      </c>
      <c r="C2972" s="89">
        <v>30851.87</v>
      </c>
      <c r="D2972" s="89" t="s">
        <v>664</v>
      </c>
    </row>
    <row r="2973" spans="1:4" x14ac:dyDescent="0.25">
      <c r="A2973" s="89" t="s">
        <v>685</v>
      </c>
      <c r="B2973" s="89" t="s">
        <v>616</v>
      </c>
      <c r="C2973" s="89">
        <v>29951.85</v>
      </c>
      <c r="D2973" s="89" t="s">
        <v>663</v>
      </c>
    </row>
    <row r="2974" spans="1:4" x14ac:dyDescent="0.25">
      <c r="A2974" s="89" t="s">
        <v>685</v>
      </c>
      <c r="B2974" s="89" t="s">
        <v>616</v>
      </c>
      <c r="C2974" s="89">
        <v>5203.5200000000004</v>
      </c>
      <c r="D2974" s="89" t="s">
        <v>663</v>
      </c>
    </row>
    <row r="2975" spans="1:4" x14ac:dyDescent="0.25">
      <c r="A2975" s="89" t="s">
        <v>685</v>
      </c>
      <c r="B2975" s="89" t="s">
        <v>616</v>
      </c>
      <c r="C2975" s="89">
        <v>92393.06</v>
      </c>
      <c r="D2975" s="89" t="s">
        <v>663</v>
      </c>
    </row>
    <row r="2976" spans="1:4" x14ac:dyDescent="0.25">
      <c r="A2976" s="89" t="s">
        <v>685</v>
      </c>
      <c r="B2976" s="89" t="s">
        <v>616</v>
      </c>
      <c r="C2976" s="89">
        <v>80391.5</v>
      </c>
      <c r="D2976" s="89" t="s">
        <v>664</v>
      </c>
    </row>
    <row r="2977" spans="1:4" x14ac:dyDescent="0.25">
      <c r="A2977" s="89" t="s">
        <v>685</v>
      </c>
      <c r="B2977" s="89" t="s">
        <v>616</v>
      </c>
      <c r="C2977" s="89">
        <v>484944.91</v>
      </c>
      <c r="D2977" s="89" t="s">
        <v>664</v>
      </c>
    </row>
    <row r="2978" spans="1:4" x14ac:dyDescent="0.25">
      <c r="A2978" s="89" t="s">
        <v>685</v>
      </c>
      <c r="B2978" s="89" t="s">
        <v>616</v>
      </c>
      <c r="C2978" s="89">
        <v>1253832</v>
      </c>
      <c r="D2978" s="89" t="s">
        <v>663</v>
      </c>
    </row>
    <row r="2979" spans="1:4" x14ac:dyDescent="0.25">
      <c r="A2979" s="89" t="s">
        <v>685</v>
      </c>
      <c r="B2979" s="89" t="s">
        <v>616</v>
      </c>
      <c r="C2979" s="89">
        <v>98835</v>
      </c>
      <c r="D2979" s="89" t="s">
        <v>664</v>
      </c>
    </row>
    <row r="2980" spans="1:4" x14ac:dyDescent="0.25">
      <c r="A2980" s="89" t="s">
        <v>685</v>
      </c>
      <c r="B2980" s="89" t="s">
        <v>616</v>
      </c>
      <c r="C2980" s="89">
        <v>1746703.48</v>
      </c>
      <c r="D2980" s="89" t="s">
        <v>664</v>
      </c>
    </row>
    <row r="2981" spans="1:4" x14ac:dyDescent="0.25">
      <c r="A2981" s="89" t="s">
        <v>685</v>
      </c>
      <c r="B2981" s="89" t="s">
        <v>616</v>
      </c>
      <c r="C2981" s="89">
        <v>532732.14</v>
      </c>
      <c r="D2981" s="89" t="s">
        <v>666</v>
      </c>
    </row>
    <row r="2982" spans="1:4" x14ac:dyDescent="0.25">
      <c r="A2982" s="89" t="s">
        <v>685</v>
      </c>
      <c r="B2982" s="89" t="s">
        <v>616</v>
      </c>
      <c r="C2982" s="89">
        <v>488127</v>
      </c>
      <c r="D2982" s="89" t="s">
        <v>666</v>
      </c>
    </row>
    <row r="2983" spans="1:4" x14ac:dyDescent="0.25">
      <c r="A2983" s="89" t="s">
        <v>685</v>
      </c>
      <c r="B2983" s="89" t="s">
        <v>616</v>
      </c>
      <c r="C2983" s="89">
        <v>891276</v>
      </c>
      <c r="D2983" s="89" t="s">
        <v>664</v>
      </c>
    </row>
    <row r="2984" spans="1:4" x14ac:dyDescent="0.25">
      <c r="A2984" s="89" t="s">
        <v>685</v>
      </c>
      <c r="B2984" s="89" t="s">
        <v>616</v>
      </c>
      <c r="C2984" s="89">
        <v>2253195.7799999998</v>
      </c>
      <c r="D2984" s="89" t="s">
        <v>664</v>
      </c>
    </row>
    <row r="2985" spans="1:4" x14ac:dyDescent="0.25">
      <c r="A2985" s="89" t="s">
        <v>685</v>
      </c>
      <c r="B2985" s="89" t="s">
        <v>616</v>
      </c>
      <c r="C2985" s="89">
        <v>442594</v>
      </c>
      <c r="D2985" s="89" t="s">
        <v>663</v>
      </c>
    </row>
    <row r="2986" spans="1:4" x14ac:dyDescent="0.25">
      <c r="A2986" s="89" t="s">
        <v>685</v>
      </c>
      <c r="B2986" s="89" t="s">
        <v>616</v>
      </c>
      <c r="C2986" s="89">
        <v>938535</v>
      </c>
      <c r="D2986" s="89" t="s">
        <v>664</v>
      </c>
    </row>
    <row r="2987" spans="1:4" x14ac:dyDescent="0.25">
      <c r="A2987" s="89" t="s">
        <v>685</v>
      </c>
      <c r="B2987" s="89" t="s">
        <v>616</v>
      </c>
      <c r="C2987" s="89">
        <v>344453</v>
      </c>
      <c r="D2987" s="89" t="s">
        <v>666</v>
      </c>
    </row>
    <row r="2988" spans="1:4" x14ac:dyDescent="0.25">
      <c r="A2988" s="89" t="s">
        <v>685</v>
      </c>
      <c r="B2988" s="89" t="s">
        <v>616</v>
      </c>
      <c r="C2988" s="89">
        <v>92015</v>
      </c>
      <c r="D2988" s="89" t="s">
        <v>666</v>
      </c>
    </row>
    <row r="2989" spans="1:4" x14ac:dyDescent="0.25">
      <c r="A2989" s="89" t="s">
        <v>685</v>
      </c>
      <c r="B2989" s="89" t="s">
        <v>616</v>
      </c>
      <c r="C2989" s="89">
        <v>324311.21999999997</v>
      </c>
      <c r="D2989" s="89" t="s">
        <v>663</v>
      </c>
    </row>
    <row r="2990" spans="1:4" x14ac:dyDescent="0.25">
      <c r="A2990" s="89" t="s">
        <v>685</v>
      </c>
      <c r="B2990" s="89" t="s">
        <v>616</v>
      </c>
      <c r="C2990" s="89">
        <v>166688.78</v>
      </c>
      <c r="D2990" s="89" t="s">
        <v>663</v>
      </c>
    </row>
    <row r="2991" spans="1:4" x14ac:dyDescent="0.25">
      <c r="A2991" s="89" t="s">
        <v>685</v>
      </c>
      <c r="B2991" s="89" t="s">
        <v>616</v>
      </c>
      <c r="C2991" s="89">
        <v>797186.58</v>
      </c>
      <c r="D2991" s="89" t="s">
        <v>664</v>
      </c>
    </row>
    <row r="2992" spans="1:4" x14ac:dyDescent="0.25">
      <c r="A2992" s="89" t="s">
        <v>685</v>
      </c>
      <c r="B2992" s="89" t="s">
        <v>616</v>
      </c>
      <c r="C2992" s="89">
        <v>289638.92</v>
      </c>
      <c r="D2992" s="89" t="s">
        <v>666</v>
      </c>
    </row>
    <row r="2993" spans="1:4" x14ac:dyDescent="0.25">
      <c r="A2993" s="89" t="s">
        <v>685</v>
      </c>
      <c r="B2993" s="89" t="s">
        <v>616</v>
      </c>
      <c r="C2993" s="89">
        <v>291777.59999999998</v>
      </c>
      <c r="D2993" s="89" t="s">
        <v>664</v>
      </c>
    </row>
    <row r="2994" spans="1:4" x14ac:dyDescent="0.25">
      <c r="A2994" s="89" t="s">
        <v>685</v>
      </c>
      <c r="B2994" s="89" t="s">
        <v>616</v>
      </c>
      <c r="C2994" s="89">
        <v>315402.17</v>
      </c>
      <c r="D2994" s="89" t="s">
        <v>666</v>
      </c>
    </row>
    <row r="2995" spans="1:4" x14ac:dyDescent="0.25">
      <c r="A2995" s="89" t="s">
        <v>685</v>
      </c>
      <c r="B2995" s="89" t="s">
        <v>616</v>
      </c>
      <c r="C2995" s="89">
        <v>172301.85</v>
      </c>
      <c r="D2995" s="89" t="s">
        <v>666</v>
      </c>
    </row>
    <row r="2996" spans="1:4" x14ac:dyDescent="0.25">
      <c r="A2996" s="89" t="s">
        <v>685</v>
      </c>
      <c r="B2996" s="89" t="s">
        <v>616</v>
      </c>
      <c r="C2996" s="89">
        <v>200000</v>
      </c>
      <c r="D2996" s="89" t="s">
        <v>664</v>
      </c>
    </row>
    <row r="2997" spans="1:4" x14ac:dyDescent="0.25">
      <c r="A2997" s="89" t="s">
        <v>685</v>
      </c>
      <c r="B2997" s="89" t="s">
        <v>616</v>
      </c>
      <c r="C2997" s="89">
        <v>235226</v>
      </c>
      <c r="D2997" s="89" t="s">
        <v>663</v>
      </c>
    </row>
    <row r="2998" spans="1:4" x14ac:dyDescent="0.25">
      <c r="A2998" s="89" t="s">
        <v>685</v>
      </c>
      <c r="B2998" s="89" t="s">
        <v>616</v>
      </c>
      <c r="C2998" s="89">
        <v>259691</v>
      </c>
      <c r="D2998" s="89" t="s">
        <v>664</v>
      </c>
    </row>
    <row r="2999" spans="1:4" x14ac:dyDescent="0.25">
      <c r="A2999" s="89" t="s">
        <v>685</v>
      </c>
      <c r="B2999" s="89" t="s">
        <v>616</v>
      </c>
      <c r="C2999" s="89">
        <v>1046419.65</v>
      </c>
      <c r="D2999" s="89" t="s">
        <v>664</v>
      </c>
    </row>
    <row r="3000" spans="1:4" x14ac:dyDescent="0.25">
      <c r="A3000" s="89" t="s">
        <v>685</v>
      </c>
      <c r="B3000" s="89" t="s">
        <v>616</v>
      </c>
      <c r="C3000" s="89">
        <v>609680</v>
      </c>
      <c r="D3000" s="89" t="s">
        <v>663</v>
      </c>
    </row>
    <row r="3001" spans="1:4" x14ac:dyDescent="0.25">
      <c r="A3001" s="89" t="s">
        <v>685</v>
      </c>
      <c r="B3001" s="89" t="s">
        <v>616</v>
      </c>
      <c r="C3001" s="89">
        <v>355294.27</v>
      </c>
      <c r="D3001" s="89" t="s">
        <v>666</v>
      </c>
    </row>
    <row r="3002" spans="1:4" x14ac:dyDescent="0.25">
      <c r="A3002" s="89" t="s">
        <v>685</v>
      </c>
      <c r="B3002" s="89" t="s">
        <v>616</v>
      </c>
      <c r="C3002" s="89">
        <v>658651.68999999994</v>
      </c>
      <c r="D3002" s="89" t="s">
        <v>663</v>
      </c>
    </row>
    <row r="3003" spans="1:4" x14ac:dyDescent="0.25">
      <c r="A3003" s="89" t="s">
        <v>685</v>
      </c>
      <c r="B3003" s="89" t="s">
        <v>616</v>
      </c>
      <c r="C3003" s="89">
        <v>217118</v>
      </c>
      <c r="D3003" s="89" t="s">
        <v>666</v>
      </c>
    </row>
    <row r="3004" spans="1:4" x14ac:dyDescent="0.25">
      <c r="A3004" s="89" t="s">
        <v>685</v>
      </c>
      <c r="B3004" s="89" t="s">
        <v>616</v>
      </c>
      <c r="C3004" s="89">
        <v>144845.98000000001</v>
      </c>
      <c r="D3004" s="89" t="s">
        <v>663</v>
      </c>
    </row>
    <row r="3005" spans="1:4" x14ac:dyDescent="0.25">
      <c r="A3005" s="89" t="s">
        <v>685</v>
      </c>
      <c r="B3005" s="89" t="s">
        <v>616</v>
      </c>
      <c r="C3005" s="89">
        <v>313160.2</v>
      </c>
      <c r="D3005" s="89" t="s">
        <v>664</v>
      </c>
    </row>
    <row r="3006" spans="1:4" x14ac:dyDescent="0.25">
      <c r="A3006" s="89" t="s">
        <v>685</v>
      </c>
      <c r="B3006" s="89" t="s">
        <v>616</v>
      </c>
      <c r="C3006" s="89">
        <v>45653.18</v>
      </c>
      <c r="D3006" s="89" t="s">
        <v>666</v>
      </c>
    </row>
    <row r="3007" spans="1:4" x14ac:dyDescent="0.25">
      <c r="A3007" s="89" t="s">
        <v>685</v>
      </c>
      <c r="B3007" s="89" t="s">
        <v>616</v>
      </c>
      <c r="C3007" s="89">
        <v>155307</v>
      </c>
      <c r="D3007" s="89" t="s">
        <v>664</v>
      </c>
    </row>
    <row r="3008" spans="1:4" x14ac:dyDescent="0.25">
      <c r="A3008" s="89" t="s">
        <v>685</v>
      </c>
      <c r="B3008" s="89" t="s">
        <v>616</v>
      </c>
      <c r="C3008" s="89">
        <v>109436</v>
      </c>
      <c r="D3008" s="89" t="s">
        <v>664</v>
      </c>
    </row>
    <row r="3009" spans="1:4" x14ac:dyDescent="0.25">
      <c r="A3009" s="89" t="s">
        <v>685</v>
      </c>
      <c r="B3009" s="89" t="s">
        <v>616</v>
      </c>
      <c r="C3009" s="89">
        <v>372223.81</v>
      </c>
      <c r="D3009" s="89" t="s">
        <v>663</v>
      </c>
    </row>
    <row r="3010" spans="1:4" x14ac:dyDescent="0.25">
      <c r="A3010" s="89" t="s">
        <v>685</v>
      </c>
      <c r="B3010" s="89" t="s">
        <v>616</v>
      </c>
      <c r="C3010" s="89">
        <v>337552.94</v>
      </c>
      <c r="D3010" s="89" t="s">
        <v>664</v>
      </c>
    </row>
    <row r="3011" spans="1:4" x14ac:dyDescent="0.25">
      <c r="A3011" s="89" t="s">
        <v>685</v>
      </c>
      <c r="B3011" s="89" t="s">
        <v>616</v>
      </c>
      <c r="C3011" s="89">
        <v>84848.87</v>
      </c>
      <c r="D3011" s="89" t="s">
        <v>663</v>
      </c>
    </row>
    <row r="3012" spans="1:4" x14ac:dyDescent="0.25">
      <c r="A3012" s="89" t="s">
        <v>685</v>
      </c>
      <c r="B3012" s="89" t="s">
        <v>616</v>
      </c>
      <c r="C3012" s="89">
        <v>769162.36</v>
      </c>
      <c r="D3012" s="89" t="s">
        <v>663</v>
      </c>
    </row>
    <row r="3013" spans="1:4" x14ac:dyDescent="0.25">
      <c r="A3013" s="89" t="s">
        <v>685</v>
      </c>
      <c r="B3013" s="89" t="s">
        <v>616</v>
      </c>
      <c r="C3013" s="89">
        <v>303452.46999999997</v>
      </c>
      <c r="D3013" s="89" t="s">
        <v>664</v>
      </c>
    </row>
    <row r="3014" spans="1:4" x14ac:dyDescent="0.25">
      <c r="A3014" s="89" t="s">
        <v>685</v>
      </c>
      <c r="B3014" s="89" t="s">
        <v>616</v>
      </c>
      <c r="C3014" s="89">
        <v>459433</v>
      </c>
      <c r="D3014" s="89" t="s">
        <v>663</v>
      </c>
    </row>
    <row r="3015" spans="1:4" x14ac:dyDescent="0.25">
      <c r="A3015" s="89" t="s">
        <v>685</v>
      </c>
      <c r="B3015" s="89" t="s">
        <v>616</v>
      </c>
      <c r="C3015" s="89">
        <v>907845</v>
      </c>
      <c r="D3015" s="89" t="s">
        <v>666</v>
      </c>
    </row>
    <row r="3016" spans="1:4" x14ac:dyDescent="0.25">
      <c r="A3016" s="89" t="s">
        <v>685</v>
      </c>
      <c r="B3016" s="89" t="s">
        <v>616</v>
      </c>
      <c r="C3016" s="89">
        <v>3801109</v>
      </c>
      <c r="D3016" s="89" t="s">
        <v>664</v>
      </c>
    </row>
    <row r="3017" spans="1:4" x14ac:dyDescent="0.25">
      <c r="A3017" s="89" t="s">
        <v>685</v>
      </c>
      <c r="B3017" s="89" t="s">
        <v>616</v>
      </c>
      <c r="C3017" s="89">
        <v>1742892</v>
      </c>
      <c r="D3017" s="89" t="s">
        <v>664</v>
      </c>
    </row>
    <row r="3018" spans="1:4" x14ac:dyDescent="0.25">
      <c r="A3018" s="89" t="s">
        <v>685</v>
      </c>
      <c r="B3018" s="89" t="s">
        <v>616</v>
      </c>
      <c r="C3018" s="89">
        <v>2034179</v>
      </c>
      <c r="D3018" s="89" t="s">
        <v>666</v>
      </c>
    </row>
    <row r="3019" spans="1:4" x14ac:dyDescent="0.25">
      <c r="A3019" s="89" t="s">
        <v>685</v>
      </c>
      <c r="B3019" s="89" t="s">
        <v>616</v>
      </c>
      <c r="C3019" s="89">
        <v>261853.15</v>
      </c>
      <c r="D3019" s="89" t="s">
        <v>666</v>
      </c>
    </row>
    <row r="3020" spans="1:4" x14ac:dyDescent="0.25">
      <c r="A3020" s="89" t="s">
        <v>685</v>
      </c>
      <c r="B3020" s="89" t="s">
        <v>616</v>
      </c>
      <c r="C3020" s="89">
        <v>29476</v>
      </c>
      <c r="D3020" s="89" t="s">
        <v>666</v>
      </c>
    </row>
    <row r="3021" spans="1:4" x14ac:dyDescent="0.25">
      <c r="A3021" s="89" t="s">
        <v>685</v>
      </c>
      <c r="B3021" s="89" t="s">
        <v>616</v>
      </c>
      <c r="C3021" s="89">
        <v>1092628</v>
      </c>
      <c r="D3021" s="89" t="s">
        <v>663</v>
      </c>
    </row>
    <row r="3022" spans="1:4" x14ac:dyDescent="0.25">
      <c r="A3022" s="89" t="s">
        <v>685</v>
      </c>
      <c r="B3022" s="89" t="s">
        <v>616</v>
      </c>
      <c r="C3022" s="89">
        <v>843393.94</v>
      </c>
      <c r="D3022" s="89" t="s">
        <v>664</v>
      </c>
    </row>
    <row r="3023" spans="1:4" x14ac:dyDescent="0.25">
      <c r="A3023" s="89" t="s">
        <v>685</v>
      </c>
      <c r="B3023" s="89" t="s">
        <v>616</v>
      </c>
      <c r="C3023" s="89">
        <v>1512601.92</v>
      </c>
      <c r="D3023" s="89" t="s">
        <v>663</v>
      </c>
    </row>
    <row r="3024" spans="1:4" x14ac:dyDescent="0.25">
      <c r="A3024" s="89" t="s">
        <v>685</v>
      </c>
      <c r="B3024" s="89" t="s">
        <v>616</v>
      </c>
      <c r="C3024" s="89">
        <v>13799.47</v>
      </c>
      <c r="D3024" s="89" t="s">
        <v>664</v>
      </c>
    </row>
    <row r="3025" spans="1:4" x14ac:dyDescent="0.25">
      <c r="A3025" s="89" t="s">
        <v>685</v>
      </c>
      <c r="B3025" s="89" t="s">
        <v>616</v>
      </c>
      <c r="C3025" s="89">
        <v>10053.41</v>
      </c>
      <c r="D3025" s="89" t="s">
        <v>663</v>
      </c>
    </row>
    <row r="3026" spans="1:4" x14ac:dyDescent="0.25">
      <c r="A3026" s="89" t="s">
        <v>685</v>
      </c>
      <c r="B3026" s="89" t="s">
        <v>616</v>
      </c>
      <c r="C3026" s="89">
        <v>39042.78</v>
      </c>
      <c r="D3026" s="89" t="s">
        <v>663</v>
      </c>
    </row>
    <row r="3027" spans="1:4" x14ac:dyDescent="0.25">
      <c r="A3027" s="89" t="s">
        <v>685</v>
      </c>
      <c r="B3027" s="89" t="s">
        <v>616</v>
      </c>
      <c r="C3027" s="89">
        <v>72164.039999999994</v>
      </c>
      <c r="D3027" s="89" t="s">
        <v>664</v>
      </c>
    </row>
    <row r="3028" spans="1:4" x14ac:dyDescent="0.25">
      <c r="A3028" s="89" t="s">
        <v>685</v>
      </c>
      <c r="B3028" s="89" t="s">
        <v>616</v>
      </c>
      <c r="C3028" s="89">
        <v>245983.97</v>
      </c>
      <c r="D3028" s="89" t="s">
        <v>664</v>
      </c>
    </row>
    <row r="3029" spans="1:4" x14ac:dyDescent="0.25">
      <c r="A3029" s="89" t="s">
        <v>685</v>
      </c>
      <c r="B3029" s="89" t="s">
        <v>616</v>
      </c>
      <c r="C3029" s="89">
        <v>13643.55</v>
      </c>
      <c r="D3029" s="89" t="s">
        <v>664</v>
      </c>
    </row>
    <row r="3030" spans="1:4" x14ac:dyDescent="0.25">
      <c r="A3030" s="89" t="s">
        <v>685</v>
      </c>
      <c r="B3030" s="89" t="s">
        <v>616</v>
      </c>
      <c r="C3030" s="89">
        <v>146397.15</v>
      </c>
      <c r="D3030" s="89" t="s">
        <v>663</v>
      </c>
    </row>
    <row r="3031" spans="1:4" x14ac:dyDescent="0.25">
      <c r="A3031" s="89" t="s">
        <v>685</v>
      </c>
      <c r="B3031" s="89" t="s">
        <v>616</v>
      </c>
      <c r="C3031" s="89">
        <v>41976</v>
      </c>
      <c r="D3031" s="89" t="s">
        <v>666</v>
      </c>
    </row>
    <row r="3032" spans="1:4" x14ac:dyDescent="0.25">
      <c r="A3032" s="89" t="s">
        <v>685</v>
      </c>
      <c r="B3032" s="89" t="s">
        <v>616</v>
      </c>
      <c r="C3032" s="89">
        <v>1165512.75</v>
      </c>
      <c r="D3032" s="89" t="s">
        <v>664</v>
      </c>
    </row>
    <row r="3033" spans="1:4" x14ac:dyDescent="0.25">
      <c r="A3033" s="89" t="s">
        <v>685</v>
      </c>
      <c r="B3033" s="89" t="s">
        <v>616</v>
      </c>
      <c r="C3033" s="89">
        <v>81150</v>
      </c>
      <c r="D3033" s="89" t="s">
        <v>663</v>
      </c>
    </row>
    <row r="3034" spans="1:4" x14ac:dyDescent="0.25">
      <c r="A3034" s="89" t="s">
        <v>685</v>
      </c>
      <c r="B3034" s="89" t="s">
        <v>616</v>
      </c>
      <c r="C3034" s="89">
        <v>409090</v>
      </c>
      <c r="D3034" s="89" t="s">
        <v>664</v>
      </c>
    </row>
    <row r="3035" spans="1:4" x14ac:dyDescent="0.25">
      <c r="A3035" s="89" t="s">
        <v>685</v>
      </c>
      <c r="B3035" s="89" t="s">
        <v>616</v>
      </c>
      <c r="C3035" s="89">
        <v>1324092.76</v>
      </c>
      <c r="D3035" s="89" t="s">
        <v>663</v>
      </c>
    </row>
    <row r="3036" spans="1:4" x14ac:dyDescent="0.25">
      <c r="A3036" s="89" t="s">
        <v>685</v>
      </c>
      <c r="B3036" s="89" t="s">
        <v>616</v>
      </c>
      <c r="C3036" s="89">
        <v>7708.8</v>
      </c>
      <c r="D3036" s="89" t="s">
        <v>664</v>
      </c>
    </row>
    <row r="3037" spans="1:4" x14ac:dyDescent="0.25">
      <c r="A3037" s="89" t="s">
        <v>685</v>
      </c>
      <c r="B3037" s="89" t="s">
        <v>616</v>
      </c>
      <c r="C3037" s="89">
        <v>605776</v>
      </c>
      <c r="D3037" s="89" t="s">
        <v>663</v>
      </c>
    </row>
    <row r="3038" spans="1:4" x14ac:dyDescent="0.25">
      <c r="A3038" s="89" t="s">
        <v>685</v>
      </c>
      <c r="B3038" s="89" t="s">
        <v>616</v>
      </c>
      <c r="C3038" s="89">
        <v>39933.65</v>
      </c>
      <c r="D3038" s="89" t="s">
        <v>663</v>
      </c>
    </row>
    <row r="3039" spans="1:4" x14ac:dyDescent="0.25">
      <c r="A3039" s="89" t="s">
        <v>685</v>
      </c>
      <c r="B3039" s="89" t="s">
        <v>616</v>
      </c>
      <c r="C3039" s="89">
        <v>1189868.31</v>
      </c>
      <c r="D3039" s="89" t="s">
        <v>664</v>
      </c>
    </row>
    <row r="3040" spans="1:4" x14ac:dyDescent="0.25">
      <c r="A3040" s="89" t="s">
        <v>685</v>
      </c>
      <c r="B3040" s="89" t="s">
        <v>616</v>
      </c>
      <c r="C3040" s="89">
        <v>1453734.01</v>
      </c>
      <c r="D3040" s="89" t="s">
        <v>664</v>
      </c>
    </row>
    <row r="3041" spans="1:4" x14ac:dyDescent="0.25">
      <c r="A3041" s="89" t="s">
        <v>685</v>
      </c>
      <c r="B3041" s="89" t="s">
        <v>616</v>
      </c>
      <c r="C3041" s="89">
        <v>3559944.5</v>
      </c>
      <c r="D3041" s="89" t="s">
        <v>664</v>
      </c>
    </row>
    <row r="3042" spans="1:4" x14ac:dyDescent="0.25">
      <c r="A3042" s="89" t="s">
        <v>685</v>
      </c>
      <c r="B3042" s="89" t="s">
        <v>616</v>
      </c>
      <c r="C3042" s="89">
        <v>20055.07</v>
      </c>
      <c r="D3042" s="89" t="s">
        <v>664</v>
      </c>
    </row>
    <row r="3043" spans="1:4" x14ac:dyDescent="0.25">
      <c r="A3043" s="89" t="s">
        <v>685</v>
      </c>
      <c r="B3043" s="89" t="s">
        <v>616</v>
      </c>
      <c r="C3043" s="89">
        <v>72423.55</v>
      </c>
      <c r="D3043" s="89" t="s">
        <v>663</v>
      </c>
    </row>
    <row r="3044" spans="1:4" x14ac:dyDescent="0.25">
      <c r="A3044" s="89" t="s">
        <v>685</v>
      </c>
      <c r="B3044" s="89" t="s">
        <v>616</v>
      </c>
      <c r="C3044" s="89">
        <v>1512441.02</v>
      </c>
      <c r="D3044" s="89" t="s">
        <v>666</v>
      </c>
    </row>
    <row r="3045" spans="1:4" x14ac:dyDescent="0.25">
      <c r="A3045" s="89" t="s">
        <v>685</v>
      </c>
      <c r="B3045" s="89" t="s">
        <v>616</v>
      </c>
      <c r="C3045" s="89">
        <v>-39042.78</v>
      </c>
      <c r="D3045" s="89" t="s">
        <v>663</v>
      </c>
    </row>
    <row r="3046" spans="1:4" x14ac:dyDescent="0.25">
      <c r="A3046" s="89" t="s">
        <v>685</v>
      </c>
      <c r="B3046" s="89" t="s">
        <v>616</v>
      </c>
      <c r="C3046" s="89">
        <v>39042.78</v>
      </c>
      <c r="D3046" s="89" t="s">
        <v>663</v>
      </c>
    </row>
    <row r="3047" spans="1:4" x14ac:dyDescent="0.25">
      <c r="A3047" s="89" t="s">
        <v>685</v>
      </c>
      <c r="B3047" s="89" t="s">
        <v>616</v>
      </c>
      <c r="C3047" s="89">
        <v>133238.15</v>
      </c>
      <c r="D3047" s="89" t="s">
        <v>663</v>
      </c>
    </row>
    <row r="3048" spans="1:4" x14ac:dyDescent="0.25">
      <c r="A3048" s="89" t="s">
        <v>685</v>
      </c>
      <c r="B3048" s="89" t="s">
        <v>616</v>
      </c>
      <c r="C3048" s="89">
        <v>37402.300000000003</v>
      </c>
      <c r="D3048" s="89" t="s">
        <v>666</v>
      </c>
    </row>
    <row r="3049" spans="1:4" x14ac:dyDescent="0.25">
      <c r="A3049" s="89" t="s">
        <v>685</v>
      </c>
      <c r="B3049" s="89" t="s">
        <v>616</v>
      </c>
      <c r="C3049" s="89">
        <v>267580.75</v>
      </c>
      <c r="D3049" s="89" t="s">
        <v>666</v>
      </c>
    </row>
    <row r="3050" spans="1:4" x14ac:dyDescent="0.25">
      <c r="A3050" s="89" t="s">
        <v>685</v>
      </c>
      <c r="B3050" s="89" t="s">
        <v>616</v>
      </c>
      <c r="C3050" s="89">
        <v>2116828.75</v>
      </c>
      <c r="D3050" s="89" t="s">
        <v>663</v>
      </c>
    </row>
    <row r="3051" spans="1:4" x14ac:dyDescent="0.25">
      <c r="A3051" s="89" t="s">
        <v>685</v>
      </c>
      <c r="B3051" s="89" t="s">
        <v>616</v>
      </c>
      <c r="C3051" s="89">
        <v>265685.83</v>
      </c>
      <c r="D3051" s="89" t="s">
        <v>664</v>
      </c>
    </row>
    <row r="3052" spans="1:4" x14ac:dyDescent="0.25">
      <c r="A3052" s="89" t="s">
        <v>685</v>
      </c>
      <c r="B3052" s="89" t="s">
        <v>616</v>
      </c>
      <c r="C3052" s="89">
        <v>165594.54</v>
      </c>
      <c r="D3052" s="89" t="s">
        <v>663</v>
      </c>
    </row>
    <row r="3053" spans="1:4" x14ac:dyDescent="0.25">
      <c r="A3053" s="89" t="s">
        <v>685</v>
      </c>
      <c r="B3053" s="89" t="s">
        <v>616</v>
      </c>
      <c r="C3053" s="89">
        <v>3228.05</v>
      </c>
      <c r="D3053" s="89" t="s">
        <v>666</v>
      </c>
    </row>
    <row r="3054" spans="1:4" x14ac:dyDescent="0.25">
      <c r="A3054" s="89" t="s">
        <v>38</v>
      </c>
      <c r="B3054" s="89" t="s">
        <v>616</v>
      </c>
      <c r="C3054" s="89">
        <v>912926</v>
      </c>
      <c r="D3054" s="89" t="s">
        <v>663</v>
      </c>
    </row>
    <row r="3055" spans="1:4" x14ac:dyDescent="0.25">
      <c r="A3055" s="89" t="s">
        <v>38</v>
      </c>
      <c r="B3055" s="89" t="s">
        <v>616</v>
      </c>
      <c r="C3055" s="89">
        <v>1348717.51</v>
      </c>
      <c r="D3055" s="89" t="s">
        <v>663</v>
      </c>
    </row>
    <row r="3056" spans="1:4" x14ac:dyDescent="0.25">
      <c r="A3056" s="89" t="s">
        <v>38</v>
      </c>
      <c r="B3056" s="89" t="s">
        <v>616</v>
      </c>
      <c r="C3056" s="89">
        <v>1770073</v>
      </c>
      <c r="D3056" s="89" t="s">
        <v>663</v>
      </c>
    </row>
    <row r="3057" spans="1:4" x14ac:dyDescent="0.25">
      <c r="A3057" s="89" t="s">
        <v>38</v>
      </c>
      <c r="B3057" s="89" t="s">
        <v>616</v>
      </c>
      <c r="C3057" s="89">
        <v>707681</v>
      </c>
      <c r="D3057" s="89" t="s">
        <v>666</v>
      </c>
    </row>
    <row r="3058" spans="1:4" x14ac:dyDescent="0.25">
      <c r="A3058" s="89" t="s">
        <v>38</v>
      </c>
      <c r="B3058" s="89" t="s">
        <v>616</v>
      </c>
      <c r="C3058" s="89">
        <v>767029</v>
      </c>
      <c r="D3058" s="89" t="s">
        <v>666</v>
      </c>
    </row>
    <row r="3059" spans="1:4" x14ac:dyDescent="0.25">
      <c r="A3059" s="89" t="s">
        <v>38</v>
      </c>
      <c r="B3059" s="89" t="s">
        <v>616</v>
      </c>
      <c r="C3059" s="89">
        <v>3148252</v>
      </c>
      <c r="D3059" s="89" t="s">
        <v>663</v>
      </c>
    </row>
    <row r="3060" spans="1:4" x14ac:dyDescent="0.25">
      <c r="A3060" s="89" t="s">
        <v>38</v>
      </c>
      <c r="B3060" s="89" t="s">
        <v>616</v>
      </c>
      <c r="C3060" s="89">
        <v>1058955.74</v>
      </c>
      <c r="D3060" s="89" t="s">
        <v>663</v>
      </c>
    </row>
    <row r="3061" spans="1:4" x14ac:dyDescent="0.25">
      <c r="A3061" s="89" t="s">
        <v>38</v>
      </c>
      <c r="B3061" s="89" t="s">
        <v>616</v>
      </c>
      <c r="C3061" s="89">
        <v>392839.95</v>
      </c>
      <c r="D3061" s="89" t="s">
        <v>666</v>
      </c>
    </row>
    <row r="3062" spans="1:4" x14ac:dyDescent="0.25">
      <c r="A3062" s="89" t="s">
        <v>38</v>
      </c>
      <c r="B3062" s="89" t="s">
        <v>616</v>
      </c>
      <c r="C3062" s="89">
        <v>109014.46</v>
      </c>
      <c r="D3062" s="89" t="s">
        <v>666</v>
      </c>
    </row>
    <row r="3063" spans="1:4" x14ac:dyDescent="0.25">
      <c r="A3063" s="89" t="s">
        <v>38</v>
      </c>
      <c r="B3063" s="89" t="s">
        <v>616</v>
      </c>
      <c r="C3063" s="89">
        <v>1400000</v>
      </c>
      <c r="D3063" s="89" t="s">
        <v>666</v>
      </c>
    </row>
    <row r="3064" spans="1:4" x14ac:dyDescent="0.25">
      <c r="A3064" s="89" t="s">
        <v>38</v>
      </c>
      <c r="B3064" s="89" t="s">
        <v>616</v>
      </c>
      <c r="C3064" s="89">
        <v>643437.51</v>
      </c>
      <c r="D3064" s="89" t="s">
        <v>666</v>
      </c>
    </row>
    <row r="3065" spans="1:4" x14ac:dyDescent="0.25">
      <c r="A3065" s="89" t="s">
        <v>38</v>
      </c>
      <c r="B3065" s="89" t="s">
        <v>616</v>
      </c>
      <c r="C3065" s="89">
        <v>6915256.2699999996</v>
      </c>
      <c r="D3065" s="89" t="s">
        <v>663</v>
      </c>
    </row>
    <row r="3066" spans="1:4" x14ac:dyDescent="0.25">
      <c r="A3066" s="89" t="s">
        <v>38</v>
      </c>
      <c r="B3066" s="89" t="s">
        <v>616</v>
      </c>
      <c r="C3066" s="89">
        <v>893501</v>
      </c>
      <c r="D3066" s="89" t="s">
        <v>663</v>
      </c>
    </row>
    <row r="3067" spans="1:4" x14ac:dyDescent="0.25">
      <c r="A3067" s="89" t="s">
        <v>38</v>
      </c>
      <c r="B3067" s="89" t="s">
        <v>616</v>
      </c>
      <c r="C3067" s="89">
        <v>386270.68</v>
      </c>
      <c r="D3067" s="89" t="s">
        <v>663</v>
      </c>
    </row>
    <row r="3068" spans="1:4" x14ac:dyDescent="0.25">
      <c r="A3068" s="89" t="s">
        <v>38</v>
      </c>
      <c r="B3068" s="89" t="s">
        <v>616</v>
      </c>
      <c r="C3068" s="89">
        <v>2540000</v>
      </c>
      <c r="D3068" s="89" t="s">
        <v>663</v>
      </c>
    </row>
    <row r="3069" spans="1:4" x14ac:dyDescent="0.25">
      <c r="A3069" s="89" t="s">
        <v>38</v>
      </c>
      <c r="B3069" s="89" t="s">
        <v>616</v>
      </c>
      <c r="C3069" s="89">
        <v>1420342.08</v>
      </c>
      <c r="D3069" s="89" t="s">
        <v>663</v>
      </c>
    </row>
    <row r="3070" spans="1:4" x14ac:dyDescent="0.25">
      <c r="A3070" s="89" t="s">
        <v>38</v>
      </c>
      <c r="B3070" s="89" t="s">
        <v>616</v>
      </c>
      <c r="C3070" s="89">
        <v>98257.37</v>
      </c>
      <c r="D3070" s="89" t="s">
        <v>666</v>
      </c>
    </row>
    <row r="3071" spans="1:4" x14ac:dyDescent="0.25">
      <c r="A3071" s="89" t="s">
        <v>38</v>
      </c>
      <c r="B3071" s="89" t="s">
        <v>616</v>
      </c>
      <c r="C3071" s="89">
        <v>4620962.8899999997</v>
      </c>
      <c r="D3071" s="89" t="s">
        <v>663</v>
      </c>
    </row>
    <row r="3072" spans="1:4" x14ac:dyDescent="0.25">
      <c r="A3072" s="89" t="s">
        <v>38</v>
      </c>
      <c r="B3072" s="89" t="s">
        <v>616</v>
      </c>
      <c r="C3072" s="89">
        <v>1575005.11</v>
      </c>
      <c r="D3072" s="89" t="s">
        <v>666</v>
      </c>
    </row>
    <row r="3073" spans="1:4" x14ac:dyDescent="0.25">
      <c r="A3073" s="89" t="s">
        <v>38</v>
      </c>
      <c r="B3073" s="89" t="s">
        <v>616</v>
      </c>
      <c r="C3073" s="89">
        <v>1795406</v>
      </c>
      <c r="D3073" s="89" t="s">
        <v>663</v>
      </c>
    </row>
    <row r="3074" spans="1:4" x14ac:dyDescent="0.25">
      <c r="A3074" s="89" t="s">
        <v>38</v>
      </c>
      <c r="B3074" s="89" t="s">
        <v>616</v>
      </c>
      <c r="C3074" s="89">
        <v>1271000</v>
      </c>
      <c r="D3074" s="89" t="s">
        <v>663</v>
      </c>
    </row>
    <row r="3075" spans="1:4" x14ac:dyDescent="0.25">
      <c r="A3075" s="89" t="s">
        <v>38</v>
      </c>
      <c r="B3075" s="89" t="s">
        <v>616</v>
      </c>
      <c r="C3075" s="89">
        <v>179300</v>
      </c>
      <c r="D3075" s="89" t="s">
        <v>666</v>
      </c>
    </row>
    <row r="3076" spans="1:4" x14ac:dyDescent="0.25">
      <c r="A3076" s="89" t="s">
        <v>38</v>
      </c>
      <c r="B3076" s="89" t="s">
        <v>616</v>
      </c>
      <c r="C3076" s="89">
        <v>2295859.17</v>
      </c>
      <c r="D3076" s="89" t="s">
        <v>663</v>
      </c>
    </row>
    <row r="3077" spans="1:4" x14ac:dyDescent="0.25">
      <c r="A3077" s="89" t="s">
        <v>38</v>
      </c>
      <c r="B3077" s="89" t="s">
        <v>616</v>
      </c>
      <c r="C3077" s="89">
        <v>3255260.2</v>
      </c>
      <c r="D3077" s="89" t="s">
        <v>663</v>
      </c>
    </row>
    <row r="3078" spans="1:4" x14ac:dyDescent="0.25">
      <c r="A3078" s="89" t="s">
        <v>38</v>
      </c>
      <c r="B3078" s="89" t="s">
        <v>616</v>
      </c>
      <c r="C3078" s="89">
        <v>370080.04</v>
      </c>
      <c r="D3078" s="89" t="s">
        <v>666</v>
      </c>
    </row>
    <row r="3079" spans="1:4" x14ac:dyDescent="0.25">
      <c r="A3079" s="89" t="s">
        <v>38</v>
      </c>
      <c r="B3079" s="89" t="s">
        <v>616</v>
      </c>
      <c r="C3079" s="89">
        <v>974620.96</v>
      </c>
      <c r="D3079" s="89" t="s">
        <v>663</v>
      </c>
    </row>
    <row r="3080" spans="1:4" x14ac:dyDescent="0.25">
      <c r="A3080" s="89" t="s">
        <v>38</v>
      </c>
      <c r="B3080" s="89" t="s">
        <v>616</v>
      </c>
      <c r="C3080" s="89">
        <v>1422469</v>
      </c>
      <c r="D3080" s="89" t="s">
        <v>663</v>
      </c>
    </row>
    <row r="3081" spans="1:4" x14ac:dyDescent="0.25">
      <c r="A3081" s="89" t="s">
        <v>38</v>
      </c>
      <c r="B3081" s="89" t="s">
        <v>616</v>
      </c>
      <c r="C3081" s="89">
        <v>363002</v>
      </c>
      <c r="D3081" s="89" t="s">
        <v>666</v>
      </c>
    </row>
    <row r="3082" spans="1:4" x14ac:dyDescent="0.25">
      <c r="A3082" s="89" t="s">
        <v>38</v>
      </c>
      <c r="B3082" s="89" t="s">
        <v>616</v>
      </c>
      <c r="C3082" s="89">
        <v>1180746</v>
      </c>
      <c r="D3082" s="89" t="s">
        <v>666</v>
      </c>
    </row>
    <row r="3083" spans="1:4" x14ac:dyDescent="0.25">
      <c r="A3083" s="89" t="s">
        <v>38</v>
      </c>
      <c r="B3083" s="89" t="s">
        <v>616</v>
      </c>
      <c r="C3083" s="89">
        <v>1805297.16</v>
      </c>
      <c r="D3083" s="89" t="s">
        <v>663</v>
      </c>
    </row>
    <row r="3084" spans="1:4" x14ac:dyDescent="0.25">
      <c r="A3084" s="89" t="s">
        <v>38</v>
      </c>
      <c r="B3084" s="89" t="s">
        <v>616</v>
      </c>
      <c r="C3084" s="89">
        <v>6587615.46</v>
      </c>
      <c r="D3084" s="89" t="s">
        <v>663</v>
      </c>
    </row>
    <row r="3085" spans="1:4" x14ac:dyDescent="0.25">
      <c r="A3085" s="89" t="s">
        <v>38</v>
      </c>
      <c r="B3085" s="89" t="s">
        <v>616</v>
      </c>
      <c r="C3085" s="89">
        <v>-45918.94</v>
      </c>
      <c r="D3085" s="89" t="s">
        <v>663</v>
      </c>
    </row>
    <row r="3086" spans="1:4" x14ac:dyDescent="0.25">
      <c r="A3086" s="89" t="s">
        <v>38</v>
      </c>
      <c r="B3086" s="89" t="s">
        <v>616</v>
      </c>
      <c r="C3086" s="89">
        <v>2232624.4</v>
      </c>
      <c r="D3086" s="89" t="s">
        <v>663</v>
      </c>
    </row>
    <row r="3087" spans="1:4" x14ac:dyDescent="0.25">
      <c r="A3087" s="89" t="s">
        <v>38</v>
      </c>
      <c r="B3087" s="89" t="s">
        <v>616</v>
      </c>
      <c r="C3087" s="89">
        <v>1256767.56</v>
      </c>
      <c r="D3087" s="89" t="s">
        <v>663</v>
      </c>
    </row>
    <row r="3088" spans="1:4" x14ac:dyDescent="0.25">
      <c r="A3088" s="89" t="s">
        <v>38</v>
      </c>
      <c r="B3088" s="89" t="s">
        <v>616</v>
      </c>
      <c r="C3088" s="89">
        <v>2841914.37</v>
      </c>
      <c r="D3088" s="89" t="s">
        <v>663</v>
      </c>
    </row>
    <row r="3089" spans="1:4" x14ac:dyDescent="0.25">
      <c r="A3089" s="89" t="s">
        <v>38</v>
      </c>
      <c r="B3089" s="89" t="s">
        <v>616</v>
      </c>
      <c r="C3089" s="89">
        <v>1494654</v>
      </c>
      <c r="D3089" s="89" t="s">
        <v>663</v>
      </c>
    </row>
    <row r="3090" spans="1:4" x14ac:dyDescent="0.25">
      <c r="A3090" s="89" t="s">
        <v>38</v>
      </c>
      <c r="B3090" s="89" t="s">
        <v>616</v>
      </c>
      <c r="C3090" s="89">
        <v>342393.27</v>
      </c>
      <c r="D3090" s="89" t="s">
        <v>666</v>
      </c>
    </row>
    <row r="3091" spans="1:4" x14ac:dyDescent="0.25">
      <c r="A3091" s="89" t="s">
        <v>38</v>
      </c>
      <c r="B3091" s="89" t="s">
        <v>616</v>
      </c>
      <c r="C3091" s="89">
        <v>498958.24</v>
      </c>
      <c r="D3091" s="89" t="s">
        <v>663</v>
      </c>
    </row>
    <row r="3092" spans="1:4" x14ac:dyDescent="0.25">
      <c r="A3092" s="89" t="s">
        <v>38</v>
      </c>
      <c r="B3092" s="89" t="s">
        <v>616</v>
      </c>
      <c r="C3092" s="89">
        <v>499879</v>
      </c>
      <c r="D3092" s="89" t="s">
        <v>663</v>
      </c>
    </row>
    <row r="3093" spans="1:4" x14ac:dyDescent="0.25">
      <c r="A3093" s="89" t="s">
        <v>38</v>
      </c>
      <c r="B3093" s="89" t="s">
        <v>616</v>
      </c>
      <c r="C3093" s="89">
        <v>205461</v>
      </c>
      <c r="D3093" s="89" t="s">
        <v>666</v>
      </c>
    </row>
    <row r="3094" spans="1:4" x14ac:dyDescent="0.25">
      <c r="A3094" s="89" t="s">
        <v>38</v>
      </c>
      <c r="B3094" s="89" t="s">
        <v>616</v>
      </c>
      <c r="C3094" s="89">
        <v>7414215</v>
      </c>
      <c r="D3094" s="89" t="s">
        <v>663</v>
      </c>
    </row>
    <row r="3095" spans="1:4" x14ac:dyDescent="0.25">
      <c r="A3095" s="89" t="s">
        <v>38</v>
      </c>
      <c r="B3095" s="89" t="s">
        <v>616</v>
      </c>
      <c r="C3095" s="89">
        <v>1561636.4</v>
      </c>
      <c r="D3095" s="89" t="s">
        <v>663</v>
      </c>
    </row>
    <row r="3096" spans="1:4" x14ac:dyDescent="0.25">
      <c r="A3096" s="89" t="s">
        <v>38</v>
      </c>
      <c r="B3096" s="89" t="s">
        <v>616</v>
      </c>
      <c r="C3096" s="89">
        <v>-1622257.48</v>
      </c>
      <c r="D3096" s="89" t="s">
        <v>666</v>
      </c>
    </row>
    <row r="3097" spans="1:4" x14ac:dyDescent="0.25">
      <c r="A3097" s="89" t="s">
        <v>38</v>
      </c>
      <c r="B3097" s="89" t="s">
        <v>616</v>
      </c>
      <c r="C3097" s="89">
        <v>-1469286.39</v>
      </c>
      <c r="D3097" s="89" t="s">
        <v>663</v>
      </c>
    </row>
    <row r="3098" spans="1:4" x14ac:dyDescent="0.25">
      <c r="A3098" s="89" t="s">
        <v>38</v>
      </c>
      <c r="B3098" s="89" t="s">
        <v>616</v>
      </c>
      <c r="C3098" s="89">
        <v>663000</v>
      </c>
      <c r="D3098" s="89" t="s">
        <v>663</v>
      </c>
    </row>
    <row r="3099" spans="1:4" x14ac:dyDescent="0.25">
      <c r="A3099" s="89" t="s">
        <v>38</v>
      </c>
      <c r="B3099" s="89" t="s">
        <v>616</v>
      </c>
      <c r="C3099" s="89">
        <v>1723734</v>
      </c>
      <c r="D3099" s="89" t="s">
        <v>666</v>
      </c>
    </row>
    <row r="3100" spans="1:4" x14ac:dyDescent="0.25">
      <c r="A3100" s="89" t="s">
        <v>38</v>
      </c>
      <c r="B3100" s="89" t="s">
        <v>616</v>
      </c>
      <c r="C3100" s="89">
        <v>17047587.899999999</v>
      </c>
      <c r="D3100" s="89" t="s">
        <v>663</v>
      </c>
    </row>
    <row r="3101" spans="1:4" x14ac:dyDescent="0.25">
      <c r="A3101" s="89" t="s">
        <v>38</v>
      </c>
      <c r="B3101" s="89" t="s">
        <v>616</v>
      </c>
      <c r="C3101" s="89">
        <v>3389523</v>
      </c>
      <c r="D3101" s="89" t="s">
        <v>663</v>
      </c>
    </row>
    <row r="3102" spans="1:4" x14ac:dyDescent="0.25">
      <c r="A3102" s="89" t="s">
        <v>38</v>
      </c>
      <c r="B3102" s="89" t="s">
        <v>616</v>
      </c>
      <c r="C3102" s="89">
        <v>310233.59000000003</v>
      </c>
      <c r="D3102" s="89" t="s">
        <v>666</v>
      </c>
    </row>
    <row r="3103" spans="1:4" x14ac:dyDescent="0.25">
      <c r="A3103" s="89" t="s">
        <v>38</v>
      </c>
      <c r="B3103" s="89" t="s">
        <v>616</v>
      </c>
      <c r="C3103" s="89">
        <v>191503.02</v>
      </c>
      <c r="D3103" s="89" t="s">
        <v>666</v>
      </c>
    </row>
    <row r="3104" spans="1:4" x14ac:dyDescent="0.25">
      <c r="A3104" s="89" t="s">
        <v>85</v>
      </c>
      <c r="B3104" s="89" t="s">
        <v>617</v>
      </c>
      <c r="C3104" s="89">
        <v>2946390</v>
      </c>
      <c r="D3104" s="89" t="s">
        <v>664</v>
      </c>
    </row>
    <row r="3105" spans="1:4" x14ac:dyDescent="0.25">
      <c r="A3105" s="89" t="s">
        <v>85</v>
      </c>
      <c r="B3105" s="89" t="s">
        <v>617</v>
      </c>
      <c r="C3105" s="89">
        <v>1488088</v>
      </c>
      <c r="D3105" s="89" t="s">
        <v>663</v>
      </c>
    </row>
    <row r="3106" spans="1:4" x14ac:dyDescent="0.25">
      <c r="A3106" s="89" t="s">
        <v>85</v>
      </c>
      <c r="B3106" s="89" t="s">
        <v>617</v>
      </c>
      <c r="C3106" s="89">
        <v>321704</v>
      </c>
      <c r="D3106" s="89" t="s">
        <v>666</v>
      </c>
    </row>
    <row r="3107" spans="1:4" x14ac:dyDescent="0.25">
      <c r="A3107" s="89" t="s">
        <v>85</v>
      </c>
      <c r="B3107" s="89" t="s">
        <v>617</v>
      </c>
      <c r="C3107" s="89">
        <v>789176</v>
      </c>
      <c r="D3107" s="89" t="s">
        <v>663</v>
      </c>
    </row>
    <row r="3108" spans="1:4" x14ac:dyDescent="0.25">
      <c r="A3108" s="89" t="s">
        <v>85</v>
      </c>
      <c r="B3108" s="89" t="s">
        <v>617</v>
      </c>
      <c r="C3108" s="89">
        <v>329717</v>
      </c>
      <c r="D3108" s="89" t="s">
        <v>666</v>
      </c>
    </row>
    <row r="3109" spans="1:4" x14ac:dyDescent="0.25">
      <c r="A3109" s="89" t="s">
        <v>85</v>
      </c>
      <c r="B3109" s="89" t="s">
        <v>617</v>
      </c>
      <c r="C3109" s="89">
        <v>1040056</v>
      </c>
      <c r="D3109" s="89" t="s">
        <v>664</v>
      </c>
    </row>
    <row r="3110" spans="1:4" x14ac:dyDescent="0.25">
      <c r="A3110" s="89" t="s">
        <v>85</v>
      </c>
      <c r="B3110" s="89" t="s">
        <v>617</v>
      </c>
      <c r="C3110" s="89">
        <v>324448</v>
      </c>
      <c r="D3110" s="89" t="s">
        <v>663</v>
      </c>
    </row>
    <row r="3111" spans="1:4" x14ac:dyDescent="0.25">
      <c r="A3111" s="89" t="s">
        <v>85</v>
      </c>
      <c r="B3111" s="89" t="s">
        <v>617</v>
      </c>
      <c r="C3111" s="89">
        <v>1345540</v>
      </c>
      <c r="D3111" s="89" t="s">
        <v>663</v>
      </c>
    </row>
    <row r="3112" spans="1:4" x14ac:dyDescent="0.25">
      <c r="A3112" s="89" t="s">
        <v>85</v>
      </c>
      <c r="B3112" s="89" t="s">
        <v>617</v>
      </c>
      <c r="C3112" s="89">
        <v>425000</v>
      </c>
      <c r="D3112" s="89" t="s">
        <v>666</v>
      </c>
    </row>
    <row r="3113" spans="1:4" x14ac:dyDescent="0.25">
      <c r="A3113" s="89" t="s">
        <v>85</v>
      </c>
      <c r="B3113" s="89" t="s">
        <v>617</v>
      </c>
      <c r="C3113" s="89">
        <v>1141026</v>
      </c>
      <c r="D3113" s="89" t="s">
        <v>664</v>
      </c>
    </row>
    <row r="3114" spans="1:4" x14ac:dyDescent="0.25">
      <c r="A3114" s="89" t="s">
        <v>85</v>
      </c>
      <c r="B3114" s="89" t="s">
        <v>617</v>
      </c>
      <c r="C3114" s="89">
        <v>5453080</v>
      </c>
      <c r="D3114" s="89" t="s">
        <v>664</v>
      </c>
    </row>
    <row r="3115" spans="1:4" x14ac:dyDescent="0.25">
      <c r="A3115" s="89" t="s">
        <v>85</v>
      </c>
      <c r="B3115" s="89" t="s">
        <v>617</v>
      </c>
      <c r="C3115" s="89">
        <v>689909</v>
      </c>
      <c r="D3115" s="89" t="s">
        <v>666</v>
      </c>
    </row>
    <row r="3116" spans="1:4" x14ac:dyDescent="0.25">
      <c r="A3116" s="89" t="s">
        <v>85</v>
      </c>
      <c r="B3116" s="89" t="s">
        <v>617</v>
      </c>
      <c r="C3116" s="89">
        <v>2205185</v>
      </c>
      <c r="D3116" s="89" t="s">
        <v>664</v>
      </c>
    </row>
    <row r="3117" spans="1:4" x14ac:dyDescent="0.25">
      <c r="A3117" s="89" t="s">
        <v>85</v>
      </c>
      <c r="B3117" s="89" t="s">
        <v>617</v>
      </c>
      <c r="C3117" s="89">
        <v>1032753</v>
      </c>
      <c r="D3117" s="89" t="s">
        <v>663</v>
      </c>
    </row>
    <row r="3118" spans="1:4" x14ac:dyDescent="0.25">
      <c r="A3118" s="89" t="s">
        <v>85</v>
      </c>
      <c r="B3118" s="89" t="s">
        <v>617</v>
      </c>
      <c r="C3118" s="89">
        <v>592389</v>
      </c>
      <c r="D3118" s="89" t="s">
        <v>664</v>
      </c>
    </row>
    <row r="3119" spans="1:4" x14ac:dyDescent="0.25">
      <c r="A3119" s="89" t="s">
        <v>85</v>
      </c>
      <c r="B3119" s="89" t="s">
        <v>617</v>
      </c>
      <c r="C3119" s="89">
        <v>286830</v>
      </c>
      <c r="D3119" s="89" t="s">
        <v>666</v>
      </c>
    </row>
    <row r="3120" spans="1:4" x14ac:dyDescent="0.25">
      <c r="A3120" s="89" t="s">
        <v>85</v>
      </c>
      <c r="B3120" s="89" t="s">
        <v>617</v>
      </c>
      <c r="C3120" s="89">
        <v>253934</v>
      </c>
      <c r="D3120" s="89" t="s">
        <v>663</v>
      </c>
    </row>
    <row r="3121" spans="1:4" x14ac:dyDescent="0.25">
      <c r="A3121" s="89" t="s">
        <v>85</v>
      </c>
      <c r="B3121" s="89" t="s">
        <v>617</v>
      </c>
      <c r="C3121" s="89">
        <v>1985587</v>
      </c>
      <c r="D3121" s="89" t="s">
        <v>663</v>
      </c>
    </row>
    <row r="3122" spans="1:4" x14ac:dyDescent="0.25">
      <c r="A3122" s="89" t="s">
        <v>85</v>
      </c>
      <c r="B3122" s="89" t="s">
        <v>617</v>
      </c>
      <c r="C3122" s="89">
        <v>3387041</v>
      </c>
      <c r="D3122" s="89" t="s">
        <v>664</v>
      </c>
    </row>
    <row r="3123" spans="1:4" x14ac:dyDescent="0.25">
      <c r="A3123" s="89" t="s">
        <v>85</v>
      </c>
      <c r="B3123" s="89" t="s">
        <v>617</v>
      </c>
      <c r="C3123" s="89">
        <v>1692895</v>
      </c>
      <c r="D3123" s="89" t="s">
        <v>666</v>
      </c>
    </row>
    <row r="3124" spans="1:4" x14ac:dyDescent="0.25">
      <c r="A3124" s="89" t="s">
        <v>85</v>
      </c>
      <c r="B3124" s="89" t="s">
        <v>617</v>
      </c>
      <c r="C3124" s="89">
        <v>256215</v>
      </c>
      <c r="D3124" s="89" t="s">
        <v>666</v>
      </c>
    </row>
    <row r="3125" spans="1:4" x14ac:dyDescent="0.25">
      <c r="A3125" s="89" t="s">
        <v>85</v>
      </c>
      <c r="B3125" s="89" t="s">
        <v>617</v>
      </c>
      <c r="C3125" s="89">
        <v>509000</v>
      </c>
      <c r="D3125" s="89" t="s">
        <v>664</v>
      </c>
    </row>
    <row r="3126" spans="1:4" x14ac:dyDescent="0.25">
      <c r="A3126" s="89" t="s">
        <v>85</v>
      </c>
      <c r="B3126" s="89" t="s">
        <v>617</v>
      </c>
      <c r="C3126" s="89">
        <v>4053816</v>
      </c>
      <c r="D3126" s="89" t="s">
        <v>663</v>
      </c>
    </row>
    <row r="3127" spans="1:4" x14ac:dyDescent="0.25">
      <c r="A3127" s="89" t="s">
        <v>85</v>
      </c>
      <c r="B3127" s="89" t="s">
        <v>617</v>
      </c>
      <c r="C3127" s="89">
        <v>1100000</v>
      </c>
      <c r="D3127" s="89" t="s">
        <v>666</v>
      </c>
    </row>
    <row r="3128" spans="1:4" x14ac:dyDescent="0.25">
      <c r="A3128" s="89" t="s">
        <v>85</v>
      </c>
      <c r="B3128" s="89" t="s">
        <v>617</v>
      </c>
      <c r="C3128" s="89">
        <v>-228419.75</v>
      </c>
      <c r="D3128" s="89" t="s">
        <v>663</v>
      </c>
    </row>
    <row r="3129" spans="1:4" x14ac:dyDescent="0.25">
      <c r="A3129" s="89" t="s">
        <v>85</v>
      </c>
      <c r="B3129" s="89" t="s">
        <v>617</v>
      </c>
      <c r="C3129" s="89">
        <v>1469283</v>
      </c>
      <c r="D3129" s="89" t="s">
        <v>663</v>
      </c>
    </row>
    <row r="3130" spans="1:4" x14ac:dyDescent="0.25">
      <c r="A3130" s="89" t="s">
        <v>85</v>
      </c>
      <c r="B3130" s="89" t="s">
        <v>617</v>
      </c>
      <c r="C3130" s="89">
        <v>-235916.9</v>
      </c>
      <c r="D3130" s="89" t="s">
        <v>666</v>
      </c>
    </row>
    <row r="3131" spans="1:4" x14ac:dyDescent="0.25">
      <c r="A3131" s="89" t="s">
        <v>85</v>
      </c>
      <c r="B3131" s="89" t="s">
        <v>617</v>
      </c>
      <c r="C3131" s="89">
        <v>-264863.17</v>
      </c>
      <c r="D3131" s="89" t="s">
        <v>664</v>
      </c>
    </row>
    <row r="3132" spans="1:4" x14ac:dyDescent="0.25">
      <c r="A3132" s="89" t="s">
        <v>85</v>
      </c>
      <c r="B3132" s="89" t="s">
        <v>617</v>
      </c>
      <c r="C3132" s="89">
        <v>291921</v>
      </c>
      <c r="D3132" s="89" t="s">
        <v>664</v>
      </c>
    </row>
    <row r="3133" spans="1:4" x14ac:dyDescent="0.25">
      <c r="A3133" s="89" t="s">
        <v>85</v>
      </c>
      <c r="B3133" s="89" t="s">
        <v>617</v>
      </c>
      <c r="C3133" s="89">
        <v>4683476</v>
      </c>
      <c r="D3133" s="89" t="s">
        <v>663</v>
      </c>
    </row>
    <row r="3134" spans="1:4" x14ac:dyDescent="0.25">
      <c r="A3134" s="89" t="s">
        <v>85</v>
      </c>
      <c r="B3134" s="89" t="s">
        <v>617</v>
      </c>
      <c r="C3134" s="89">
        <v>-6499.56</v>
      </c>
      <c r="D3134" s="89" t="s">
        <v>663</v>
      </c>
    </row>
    <row r="3135" spans="1:4" x14ac:dyDescent="0.25">
      <c r="A3135" s="89" t="s">
        <v>85</v>
      </c>
      <c r="B3135" s="89" t="s">
        <v>617</v>
      </c>
      <c r="C3135" s="89">
        <v>-9583.7900000000009</v>
      </c>
      <c r="D3135" s="89" t="s">
        <v>666</v>
      </c>
    </row>
    <row r="3136" spans="1:4" x14ac:dyDescent="0.25">
      <c r="A3136" s="89" t="s">
        <v>85</v>
      </c>
      <c r="B3136" s="89" t="s">
        <v>617</v>
      </c>
      <c r="C3136" s="89">
        <v>-7065.52</v>
      </c>
      <c r="D3136" s="89" t="s">
        <v>664</v>
      </c>
    </row>
    <row r="3137" spans="1:4" x14ac:dyDescent="0.25">
      <c r="A3137" s="89" t="s">
        <v>85</v>
      </c>
      <c r="B3137" s="89" t="s">
        <v>617</v>
      </c>
      <c r="C3137" s="89">
        <v>995590</v>
      </c>
      <c r="D3137" s="89" t="s">
        <v>666</v>
      </c>
    </row>
    <row r="3138" spans="1:4" x14ac:dyDescent="0.25">
      <c r="A3138" s="89" t="s">
        <v>85</v>
      </c>
      <c r="B3138" s="89" t="s">
        <v>617</v>
      </c>
      <c r="C3138" s="89">
        <v>2704857</v>
      </c>
      <c r="D3138" s="89" t="s">
        <v>663</v>
      </c>
    </row>
    <row r="3139" spans="1:4" x14ac:dyDescent="0.25">
      <c r="A3139" s="89" t="s">
        <v>85</v>
      </c>
      <c r="B3139" s="89" t="s">
        <v>617</v>
      </c>
      <c r="C3139" s="89">
        <v>3675463</v>
      </c>
      <c r="D3139" s="89" t="s">
        <v>664</v>
      </c>
    </row>
    <row r="3140" spans="1:4" x14ac:dyDescent="0.25">
      <c r="A3140" s="89" t="s">
        <v>85</v>
      </c>
      <c r="B3140" s="89" t="s">
        <v>617</v>
      </c>
      <c r="C3140" s="89">
        <v>1935730</v>
      </c>
      <c r="D3140" s="89" t="s">
        <v>666</v>
      </c>
    </row>
    <row r="3141" spans="1:4" x14ac:dyDescent="0.25">
      <c r="A3141" s="89" t="s">
        <v>85</v>
      </c>
      <c r="B3141" s="89" t="s">
        <v>617</v>
      </c>
      <c r="C3141" s="89">
        <v>1720549</v>
      </c>
      <c r="D3141" s="89" t="s">
        <v>663</v>
      </c>
    </row>
    <row r="3142" spans="1:4" x14ac:dyDescent="0.25">
      <c r="A3142" s="89" t="s">
        <v>85</v>
      </c>
      <c r="B3142" s="89" t="s">
        <v>617</v>
      </c>
      <c r="C3142" s="89">
        <v>764047</v>
      </c>
      <c r="D3142" s="89" t="s">
        <v>663</v>
      </c>
    </row>
    <row r="3143" spans="1:4" x14ac:dyDescent="0.25">
      <c r="A3143" s="89" t="s">
        <v>85</v>
      </c>
      <c r="B3143" s="89" t="s">
        <v>617</v>
      </c>
      <c r="C3143" s="89">
        <v>1210292</v>
      </c>
      <c r="D3143" s="89" t="s">
        <v>666</v>
      </c>
    </row>
    <row r="3144" spans="1:4" x14ac:dyDescent="0.25">
      <c r="A3144" s="89" t="s">
        <v>85</v>
      </c>
      <c r="B3144" s="89" t="s">
        <v>617</v>
      </c>
      <c r="C3144" s="89">
        <v>345575</v>
      </c>
      <c r="D3144" s="89" t="s">
        <v>664</v>
      </c>
    </row>
    <row r="3145" spans="1:4" x14ac:dyDescent="0.25">
      <c r="A3145" s="89" t="s">
        <v>85</v>
      </c>
      <c r="B3145" s="89" t="s">
        <v>617</v>
      </c>
      <c r="C3145" s="89">
        <v>438661</v>
      </c>
      <c r="D3145" s="89" t="s">
        <v>663</v>
      </c>
    </row>
    <row r="3146" spans="1:4" x14ac:dyDescent="0.25">
      <c r="A3146" s="89" t="s">
        <v>85</v>
      </c>
      <c r="B3146" s="89" t="s">
        <v>617</v>
      </c>
      <c r="C3146" s="89">
        <v>531747</v>
      </c>
      <c r="D3146" s="89" t="s">
        <v>666</v>
      </c>
    </row>
    <row r="3147" spans="1:4" x14ac:dyDescent="0.25">
      <c r="A3147" s="89" t="s">
        <v>85</v>
      </c>
      <c r="B3147" s="89" t="s">
        <v>617</v>
      </c>
      <c r="C3147" s="89">
        <v>319834</v>
      </c>
      <c r="D3147" s="89" t="s">
        <v>664</v>
      </c>
    </row>
    <row r="3148" spans="1:4" x14ac:dyDescent="0.25">
      <c r="A3148" s="89" t="s">
        <v>85</v>
      </c>
      <c r="B3148" s="89" t="s">
        <v>617</v>
      </c>
      <c r="C3148" s="89">
        <v>1480470</v>
      </c>
      <c r="D3148" s="89" t="s">
        <v>663</v>
      </c>
    </row>
    <row r="3149" spans="1:4" x14ac:dyDescent="0.25">
      <c r="A3149" s="89" t="s">
        <v>85</v>
      </c>
      <c r="B3149" s="89" t="s">
        <v>617</v>
      </c>
      <c r="C3149" s="89">
        <v>1143701</v>
      </c>
      <c r="D3149" s="89" t="s">
        <v>663</v>
      </c>
    </row>
    <row r="3150" spans="1:4" x14ac:dyDescent="0.25">
      <c r="A3150" s="89" t="s">
        <v>85</v>
      </c>
      <c r="B3150" s="89" t="s">
        <v>617</v>
      </c>
      <c r="C3150" s="89">
        <v>5317215</v>
      </c>
      <c r="D3150" s="89" t="s">
        <v>664</v>
      </c>
    </row>
    <row r="3151" spans="1:4" x14ac:dyDescent="0.25">
      <c r="A3151" s="89" t="s">
        <v>85</v>
      </c>
      <c r="B3151" s="89" t="s">
        <v>617</v>
      </c>
      <c r="C3151" s="89">
        <v>610836</v>
      </c>
      <c r="D3151" s="89" t="s">
        <v>666</v>
      </c>
    </row>
    <row r="3152" spans="1:4" x14ac:dyDescent="0.25">
      <c r="A3152" s="89" t="s">
        <v>85</v>
      </c>
      <c r="B3152" s="89" t="s">
        <v>617</v>
      </c>
      <c r="C3152" s="89">
        <v>1141715.4099999999</v>
      </c>
      <c r="D3152" s="89" t="s">
        <v>663</v>
      </c>
    </row>
    <row r="3153" spans="1:4" x14ac:dyDescent="0.25">
      <c r="A3153" s="89" t="s">
        <v>85</v>
      </c>
      <c r="B3153" s="89" t="s">
        <v>617</v>
      </c>
      <c r="C3153" s="89">
        <v>743639</v>
      </c>
      <c r="D3153" s="89" t="s">
        <v>663</v>
      </c>
    </row>
    <row r="3154" spans="1:4" x14ac:dyDescent="0.25">
      <c r="A3154" s="89" t="s">
        <v>85</v>
      </c>
      <c r="B3154" s="89" t="s">
        <v>617</v>
      </c>
      <c r="C3154" s="89">
        <v>2627539</v>
      </c>
      <c r="D3154" s="89" t="s">
        <v>664</v>
      </c>
    </row>
    <row r="3155" spans="1:4" x14ac:dyDescent="0.25">
      <c r="A3155" s="89" t="s">
        <v>85</v>
      </c>
      <c r="B3155" s="89" t="s">
        <v>617</v>
      </c>
      <c r="C3155" s="89">
        <v>1145664</v>
      </c>
      <c r="D3155" s="89" t="s">
        <v>666</v>
      </c>
    </row>
    <row r="3156" spans="1:4" x14ac:dyDescent="0.25">
      <c r="A3156" s="89" t="s">
        <v>85</v>
      </c>
      <c r="B3156" s="89" t="s">
        <v>617</v>
      </c>
      <c r="C3156" s="89">
        <v>2723077</v>
      </c>
      <c r="D3156" s="89" t="s">
        <v>663</v>
      </c>
    </row>
    <row r="3157" spans="1:4" x14ac:dyDescent="0.25">
      <c r="A3157" s="89" t="s">
        <v>85</v>
      </c>
      <c r="B3157" s="89" t="s">
        <v>617</v>
      </c>
      <c r="C3157" s="89">
        <v>1182073.3999999999</v>
      </c>
      <c r="D3157" s="89" t="s">
        <v>663</v>
      </c>
    </row>
    <row r="3158" spans="1:4" x14ac:dyDescent="0.25">
      <c r="A3158" s="89" t="s">
        <v>85</v>
      </c>
      <c r="B3158" s="89" t="s">
        <v>617</v>
      </c>
      <c r="C3158" s="89">
        <v>2349461</v>
      </c>
      <c r="D3158" s="89" t="s">
        <v>663</v>
      </c>
    </row>
    <row r="3159" spans="1:4" x14ac:dyDescent="0.25">
      <c r="A3159" s="89" t="s">
        <v>85</v>
      </c>
      <c r="B3159" s="89" t="s">
        <v>617</v>
      </c>
      <c r="C3159" s="89">
        <v>200024.39</v>
      </c>
      <c r="D3159" s="89" t="s">
        <v>663</v>
      </c>
    </row>
    <row r="3160" spans="1:4" x14ac:dyDescent="0.25">
      <c r="A3160" s="89" t="s">
        <v>85</v>
      </c>
      <c r="B3160" s="89" t="s">
        <v>617</v>
      </c>
      <c r="C3160" s="89">
        <v>398256</v>
      </c>
      <c r="D3160" s="89" t="s">
        <v>663</v>
      </c>
    </row>
    <row r="3161" spans="1:4" x14ac:dyDescent="0.25">
      <c r="A3161" s="89" t="s">
        <v>85</v>
      </c>
      <c r="B3161" s="89" t="s">
        <v>617</v>
      </c>
      <c r="C3161" s="89">
        <v>50000</v>
      </c>
      <c r="D3161" s="89" t="s">
        <v>666</v>
      </c>
    </row>
    <row r="3162" spans="1:4" x14ac:dyDescent="0.25">
      <c r="A3162" s="89" t="s">
        <v>85</v>
      </c>
      <c r="B3162" s="89" t="s">
        <v>617</v>
      </c>
      <c r="C3162" s="89">
        <v>243700</v>
      </c>
      <c r="D3162" s="89" t="s">
        <v>663</v>
      </c>
    </row>
    <row r="3163" spans="1:4" x14ac:dyDescent="0.25">
      <c r="A3163" s="89" t="s">
        <v>85</v>
      </c>
      <c r="B3163" s="89" t="s">
        <v>617</v>
      </c>
      <c r="C3163" s="89">
        <v>1779453</v>
      </c>
      <c r="D3163" s="89" t="s">
        <v>664</v>
      </c>
    </row>
    <row r="3164" spans="1:4" x14ac:dyDescent="0.25">
      <c r="A3164" s="89" t="s">
        <v>85</v>
      </c>
      <c r="B3164" s="89" t="s">
        <v>617</v>
      </c>
      <c r="C3164" s="89">
        <v>1792096</v>
      </c>
      <c r="D3164" s="89" t="s">
        <v>666</v>
      </c>
    </row>
    <row r="3165" spans="1:4" x14ac:dyDescent="0.25">
      <c r="A3165" s="89" t="s">
        <v>85</v>
      </c>
      <c r="B3165" s="89" t="s">
        <v>617</v>
      </c>
      <c r="C3165" s="89">
        <v>590059</v>
      </c>
      <c r="D3165" s="89" t="s">
        <v>663</v>
      </c>
    </row>
    <row r="3166" spans="1:4" x14ac:dyDescent="0.25">
      <c r="A3166" s="89" t="s">
        <v>85</v>
      </c>
      <c r="B3166" s="89" t="s">
        <v>617</v>
      </c>
      <c r="C3166" s="89">
        <v>733957</v>
      </c>
      <c r="D3166" s="89" t="s">
        <v>666</v>
      </c>
    </row>
    <row r="3167" spans="1:4" x14ac:dyDescent="0.25">
      <c r="A3167" s="89" t="s">
        <v>85</v>
      </c>
      <c r="B3167" s="89" t="s">
        <v>617</v>
      </c>
      <c r="C3167" s="89">
        <v>4790016</v>
      </c>
      <c r="D3167" s="89" t="s">
        <v>663</v>
      </c>
    </row>
    <row r="3168" spans="1:4" x14ac:dyDescent="0.25">
      <c r="A3168" s="89" t="s">
        <v>85</v>
      </c>
      <c r="B3168" s="89" t="s">
        <v>617</v>
      </c>
      <c r="C3168" s="89">
        <v>413007.4</v>
      </c>
      <c r="D3168" s="89" t="s">
        <v>663</v>
      </c>
    </row>
    <row r="3169" spans="1:4" x14ac:dyDescent="0.25">
      <c r="A3169" s="89" t="s">
        <v>684</v>
      </c>
      <c r="C3169" s="89">
        <v>137000</v>
      </c>
      <c r="D3169" s="89" t="s">
        <v>663</v>
      </c>
    </row>
    <row r="3170" spans="1:4" x14ac:dyDescent="0.25">
      <c r="A3170" s="89" t="s">
        <v>684</v>
      </c>
      <c r="C3170" s="89">
        <v>165000</v>
      </c>
      <c r="D3170" s="89" t="s">
        <v>663</v>
      </c>
    </row>
    <row r="3171" spans="1:4" x14ac:dyDescent="0.25">
      <c r="A3171" s="89" t="s">
        <v>684</v>
      </c>
      <c r="C3171" s="89">
        <v>275000</v>
      </c>
      <c r="D3171" s="89" t="s">
        <v>663</v>
      </c>
    </row>
    <row r="3172" spans="1:4" x14ac:dyDescent="0.25">
      <c r="A3172" s="89" t="s">
        <v>684</v>
      </c>
      <c r="C3172" s="89">
        <v>50000</v>
      </c>
      <c r="D3172" s="89" t="s">
        <v>663</v>
      </c>
    </row>
    <row r="3173" spans="1:4" x14ac:dyDescent="0.25">
      <c r="A3173" s="89" t="s">
        <v>684</v>
      </c>
      <c r="C3173" s="89">
        <v>73000</v>
      </c>
      <c r="D3173" s="89" t="s">
        <v>663</v>
      </c>
    </row>
    <row r="3174" spans="1:4" x14ac:dyDescent="0.25">
      <c r="A3174" s="89" t="s">
        <v>683</v>
      </c>
      <c r="B3174" s="89" t="s">
        <v>615</v>
      </c>
      <c r="C3174" s="89">
        <v>427369</v>
      </c>
      <c r="D3174" s="89" t="s">
        <v>663</v>
      </c>
    </row>
    <row r="3175" spans="1:4" x14ac:dyDescent="0.25">
      <c r="A3175" s="89" t="s">
        <v>683</v>
      </c>
      <c r="B3175" s="89" t="s">
        <v>615</v>
      </c>
      <c r="C3175" s="89">
        <v>1516495</v>
      </c>
      <c r="D3175" s="89" t="s">
        <v>663</v>
      </c>
    </row>
    <row r="3176" spans="1:4" x14ac:dyDescent="0.25">
      <c r="A3176" s="89" t="s">
        <v>683</v>
      </c>
      <c r="B3176" s="89" t="s">
        <v>615</v>
      </c>
      <c r="C3176" s="89">
        <v>589454</v>
      </c>
      <c r="D3176" s="89" t="s">
        <v>666</v>
      </c>
    </row>
    <row r="3177" spans="1:4" x14ac:dyDescent="0.25">
      <c r="A3177" s="89" t="s">
        <v>683</v>
      </c>
      <c r="B3177" s="89" t="s">
        <v>615</v>
      </c>
      <c r="C3177" s="89">
        <v>1240413</v>
      </c>
      <c r="D3177" s="89" t="s">
        <v>663</v>
      </c>
    </row>
    <row r="3178" spans="1:4" x14ac:dyDescent="0.25">
      <c r="A3178" s="89" t="s">
        <v>683</v>
      </c>
      <c r="B3178" s="89" t="s">
        <v>615</v>
      </c>
      <c r="C3178" s="89">
        <v>271530</v>
      </c>
      <c r="D3178" s="89" t="s">
        <v>663</v>
      </c>
    </row>
    <row r="3179" spans="1:4" x14ac:dyDescent="0.25">
      <c r="A3179" s="89" t="s">
        <v>683</v>
      </c>
      <c r="B3179" s="89" t="s">
        <v>615</v>
      </c>
      <c r="C3179" s="89">
        <v>621577</v>
      </c>
      <c r="D3179" s="89" t="s">
        <v>663</v>
      </c>
    </row>
    <row r="3180" spans="1:4" x14ac:dyDescent="0.25">
      <c r="A3180" s="89" t="s">
        <v>683</v>
      </c>
      <c r="B3180" s="89" t="s">
        <v>615</v>
      </c>
      <c r="C3180" s="89">
        <v>169269</v>
      </c>
      <c r="D3180" s="89" t="s">
        <v>663</v>
      </c>
    </row>
    <row r="3181" spans="1:4" x14ac:dyDescent="0.25">
      <c r="A3181" s="89" t="s">
        <v>683</v>
      </c>
      <c r="B3181" s="89" t="s">
        <v>615</v>
      </c>
      <c r="C3181" s="89">
        <v>12947.42</v>
      </c>
      <c r="D3181" s="89" t="s">
        <v>663</v>
      </c>
    </row>
    <row r="3182" spans="1:4" x14ac:dyDescent="0.25">
      <c r="A3182" s="89" t="s">
        <v>683</v>
      </c>
      <c r="B3182" s="89" t="s">
        <v>615</v>
      </c>
      <c r="C3182" s="89">
        <v>471263.33</v>
      </c>
      <c r="D3182" s="89" t="s">
        <v>666</v>
      </c>
    </row>
    <row r="3183" spans="1:4" x14ac:dyDescent="0.25">
      <c r="A3183" s="89" t="s">
        <v>683</v>
      </c>
      <c r="B3183" s="89" t="s">
        <v>615</v>
      </c>
      <c r="C3183" s="89">
        <v>308928.73</v>
      </c>
      <c r="D3183" s="89" t="s">
        <v>666</v>
      </c>
    </row>
    <row r="3184" spans="1:4" x14ac:dyDescent="0.25">
      <c r="A3184" s="89" t="s">
        <v>683</v>
      </c>
      <c r="B3184" s="89" t="s">
        <v>615</v>
      </c>
      <c r="C3184" s="89">
        <v>1876481.5</v>
      </c>
      <c r="D3184" s="89" t="s">
        <v>663</v>
      </c>
    </row>
    <row r="3185" spans="1:4" x14ac:dyDescent="0.25">
      <c r="A3185" s="89" t="s">
        <v>683</v>
      </c>
      <c r="B3185" s="89" t="s">
        <v>615</v>
      </c>
      <c r="C3185" s="89">
        <v>181891</v>
      </c>
      <c r="D3185" s="89" t="s">
        <v>663</v>
      </c>
    </row>
    <row r="3186" spans="1:4" x14ac:dyDescent="0.25">
      <c r="A3186" s="89" t="s">
        <v>683</v>
      </c>
      <c r="B3186" s="89" t="s">
        <v>615</v>
      </c>
      <c r="C3186" s="89">
        <v>-38011.49</v>
      </c>
      <c r="D3186" s="89" t="s">
        <v>663</v>
      </c>
    </row>
    <row r="3187" spans="1:4" x14ac:dyDescent="0.25">
      <c r="A3187" s="89" t="s">
        <v>683</v>
      </c>
      <c r="B3187" s="89" t="s">
        <v>615</v>
      </c>
      <c r="C3187" s="89">
        <v>-3893.13</v>
      </c>
      <c r="D3187" s="89" t="s">
        <v>663</v>
      </c>
    </row>
    <row r="3188" spans="1:4" x14ac:dyDescent="0.25">
      <c r="A3188" s="89" t="s">
        <v>683</v>
      </c>
      <c r="B3188" s="89" t="s">
        <v>615</v>
      </c>
      <c r="C3188" s="89">
        <v>469760.98</v>
      </c>
      <c r="D3188" s="89" t="s">
        <v>666</v>
      </c>
    </row>
    <row r="3189" spans="1:4" x14ac:dyDescent="0.25">
      <c r="A3189" s="89" t="s">
        <v>683</v>
      </c>
      <c r="B3189" s="89" t="s">
        <v>615</v>
      </c>
      <c r="C3189" s="89">
        <v>1070569.94</v>
      </c>
      <c r="D3189" s="89" t="s">
        <v>663</v>
      </c>
    </row>
    <row r="3190" spans="1:4" x14ac:dyDescent="0.25">
      <c r="A3190" s="89" t="s">
        <v>683</v>
      </c>
      <c r="B3190" s="89" t="s">
        <v>615</v>
      </c>
      <c r="C3190" s="89">
        <v>736065.04</v>
      </c>
      <c r="D3190" s="89" t="s">
        <v>663</v>
      </c>
    </row>
    <row r="3191" spans="1:4" x14ac:dyDescent="0.25">
      <c r="A3191" s="89" t="s">
        <v>683</v>
      </c>
      <c r="B3191" s="89" t="s">
        <v>615</v>
      </c>
      <c r="C3191" s="89">
        <v>271839</v>
      </c>
      <c r="D3191" s="89" t="s">
        <v>666</v>
      </c>
    </row>
    <row r="3192" spans="1:4" x14ac:dyDescent="0.25">
      <c r="A3192" s="89" t="s">
        <v>683</v>
      </c>
      <c r="B3192" s="89" t="s">
        <v>615</v>
      </c>
      <c r="C3192" s="89">
        <v>1365823</v>
      </c>
      <c r="D3192" s="89" t="s">
        <v>663</v>
      </c>
    </row>
    <row r="3193" spans="1:4" x14ac:dyDescent="0.25">
      <c r="A3193" s="89" t="s">
        <v>683</v>
      </c>
      <c r="B3193" s="89" t="s">
        <v>615</v>
      </c>
      <c r="C3193" s="89">
        <v>195202.1</v>
      </c>
      <c r="D3193" s="89" t="s">
        <v>666</v>
      </c>
    </row>
    <row r="3194" spans="1:4" x14ac:dyDescent="0.25">
      <c r="A3194" s="89" t="s">
        <v>683</v>
      </c>
      <c r="B3194" s="89" t="s">
        <v>615</v>
      </c>
      <c r="C3194" s="89">
        <v>50000</v>
      </c>
      <c r="D3194" s="89" t="s">
        <v>663</v>
      </c>
    </row>
    <row r="3195" spans="1:4" x14ac:dyDescent="0.25">
      <c r="A3195" s="89" t="s">
        <v>683</v>
      </c>
      <c r="B3195" s="89" t="s">
        <v>615</v>
      </c>
      <c r="C3195" s="89">
        <v>354142.07</v>
      </c>
      <c r="D3195" s="89" t="s">
        <v>663</v>
      </c>
    </row>
    <row r="3196" spans="1:4" x14ac:dyDescent="0.25">
      <c r="A3196" s="89" t="s">
        <v>683</v>
      </c>
      <c r="B3196" s="89" t="s">
        <v>615</v>
      </c>
      <c r="C3196" s="89">
        <v>335117</v>
      </c>
      <c r="D3196" s="89" t="s">
        <v>666</v>
      </c>
    </row>
    <row r="3197" spans="1:4" x14ac:dyDescent="0.25">
      <c r="A3197" s="89" t="s">
        <v>683</v>
      </c>
      <c r="B3197" s="89" t="s">
        <v>615</v>
      </c>
      <c r="C3197" s="89">
        <v>246079</v>
      </c>
      <c r="D3197" s="89" t="s">
        <v>666</v>
      </c>
    </row>
    <row r="3198" spans="1:4" x14ac:dyDescent="0.25">
      <c r="A3198" s="89" t="s">
        <v>683</v>
      </c>
      <c r="B3198" s="89" t="s">
        <v>615</v>
      </c>
      <c r="C3198" s="89">
        <v>699608.46</v>
      </c>
      <c r="D3198" s="89" t="s">
        <v>663</v>
      </c>
    </row>
    <row r="3199" spans="1:4" x14ac:dyDescent="0.25">
      <c r="A3199" s="89" t="s">
        <v>683</v>
      </c>
      <c r="B3199" s="89" t="s">
        <v>615</v>
      </c>
      <c r="C3199" s="89">
        <v>1132866.99</v>
      </c>
      <c r="D3199" s="89" t="s">
        <v>663</v>
      </c>
    </row>
    <row r="3200" spans="1:4" x14ac:dyDescent="0.25">
      <c r="A3200" s="89" t="s">
        <v>683</v>
      </c>
      <c r="B3200" s="89" t="s">
        <v>615</v>
      </c>
      <c r="C3200" s="89">
        <v>962210.58</v>
      </c>
      <c r="D3200" s="89" t="s">
        <v>663</v>
      </c>
    </row>
    <row r="3201" spans="1:4" x14ac:dyDescent="0.25">
      <c r="A3201" s="89" t="s">
        <v>84</v>
      </c>
      <c r="B3201" s="89" t="s">
        <v>617</v>
      </c>
      <c r="C3201" s="89">
        <v>229739</v>
      </c>
      <c r="D3201" s="89" t="s">
        <v>663</v>
      </c>
    </row>
    <row r="3202" spans="1:4" x14ac:dyDescent="0.25">
      <c r="A3202" s="89" t="s">
        <v>84</v>
      </c>
      <c r="B3202" s="89" t="s">
        <v>617</v>
      </c>
      <c r="C3202" s="89">
        <v>1423787</v>
      </c>
      <c r="D3202" s="89" t="s">
        <v>663</v>
      </c>
    </row>
    <row r="3203" spans="1:4" x14ac:dyDescent="0.25">
      <c r="A3203" s="89" t="s">
        <v>84</v>
      </c>
      <c r="B3203" s="89" t="s">
        <v>617</v>
      </c>
      <c r="C3203" s="89">
        <v>672171</v>
      </c>
      <c r="D3203" s="89" t="s">
        <v>666</v>
      </c>
    </row>
    <row r="3204" spans="1:4" x14ac:dyDescent="0.25">
      <c r="A3204" s="89" t="s">
        <v>84</v>
      </c>
      <c r="B3204" s="89" t="s">
        <v>617</v>
      </c>
      <c r="C3204" s="89">
        <v>384095</v>
      </c>
      <c r="D3204" s="89" t="s">
        <v>664</v>
      </c>
    </row>
    <row r="3205" spans="1:4" x14ac:dyDescent="0.25">
      <c r="A3205" s="89" t="s">
        <v>84</v>
      </c>
      <c r="B3205" s="89" t="s">
        <v>617</v>
      </c>
      <c r="C3205" s="89">
        <v>2361307</v>
      </c>
      <c r="D3205" s="89" t="s">
        <v>664</v>
      </c>
    </row>
    <row r="3206" spans="1:4" x14ac:dyDescent="0.25">
      <c r="A3206" s="89" t="s">
        <v>84</v>
      </c>
      <c r="B3206" s="89" t="s">
        <v>617</v>
      </c>
      <c r="C3206" s="89">
        <v>88042</v>
      </c>
      <c r="D3206" s="89" t="s">
        <v>663</v>
      </c>
    </row>
    <row r="3207" spans="1:4" x14ac:dyDescent="0.25">
      <c r="A3207" s="89" t="s">
        <v>84</v>
      </c>
      <c r="B3207" s="89" t="s">
        <v>617</v>
      </c>
      <c r="C3207" s="89">
        <v>1538834</v>
      </c>
      <c r="D3207" s="89" t="s">
        <v>663</v>
      </c>
    </row>
    <row r="3208" spans="1:4" x14ac:dyDescent="0.25">
      <c r="A3208" s="89" t="s">
        <v>84</v>
      </c>
      <c r="B3208" s="89" t="s">
        <v>617</v>
      </c>
      <c r="C3208" s="89">
        <v>267630</v>
      </c>
      <c r="D3208" s="89" t="s">
        <v>663</v>
      </c>
    </row>
    <row r="3209" spans="1:4" x14ac:dyDescent="0.25">
      <c r="A3209" s="89" t="s">
        <v>84</v>
      </c>
      <c r="B3209" s="89" t="s">
        <v>617</v>
      </c>
      <c r="C3209" s="89">
        <v>267723</v>
      </c>
      <c r="D3209" s="89" t="s">
        <v>664</v>
      </c>
    </row>
    <row r="3210" spans="1:4" x14ac:dyDescent="0.25">
      <c r="A3210" s="89" t="s">
        <v>84</v>
      </c>
      <c r="B3210" s="89" t="s">
        <v>617</v>
      </c>
      <c r="C3210" s="89">
        <v>3636375</v>
      </c>
      <c r="D3210" s="89" t="s">
        <v>663</v>
      </c>
    </row>
    <row r="3211" spans="1:4" x14ac:dyDescent="0.25">
      <c r="A3211" s="89" t="s">
        <v>84</v>
      </c>
      <c r="B3211" s="89" t="s">
        <v>617</v>
      </c>
      <c r="C3211" s="89">
        <v>2708913</v>
      </c>
      <c r="D3211" s="89" t="s">
        <v>664</v>
      </c>
    </row>
    <row r="3212" spans="1:4" x14ac:dyDescent="0.25">
      <c r="A3212" s="89" t="s">
        <v>84</v>
      </c>
      <c r="B3212" s="89" t="s">
        <v>617</v>
      </c>
      <c r="C3212" s="89">
        <v>2722131</v>
      </c>
      <c r="D3212" s="89" t="s">
        <v>663</v>
      </c>
    </row>
    <row r="3213" spans="1:4" x14ac:dyDescent="0.25">
      <c r="A3213" s="89" t="s">
        <v>84</v>
      </c>
      <c r="B3213" s="89" t="s">
        <v>617</v>
      </c>
      <c r="C3213" s="89">
        <v>55865</v>
      </c>
      <c r="D3213" s="89" t="s">
        <v>664</v>
      </c>
    </row>
    <row r="3214" spans="1:4" x14ac:dyDescent="0.25">
      <c r="A3214" s="89" t="s">
        <v>84</v>
      </c>
      <c r="B3214" s="89" t="s">
        <v>617</v>
      </c>
      <c r="C3214" s="89">
        <v>1849906</v>
      </c>
      <c r="D3214" s="89" t="s">
        <v>666</v>
      </c>
    </row>
    <row r="3215" spans="1:4" x14ac:dyDescent="0.25">
      <c r="A3215" s="89" t="s">
        <v>84</v>
      </c>
      <c r="B3215" s="89" t="s">
        <v>617</v>
      </c>
      <c r="C3215" s="89">
        <v>940012</v>
      </c>
      <c r="D3215" s="89" t="s">
        <v>664</v>
      </c>
    </row>
    <row r="3216" spans="1:4" x14ac:dyDescent="0.25">
      <c r="A3216" s="89" t="s">
        <v>84</v>
      </c>
      <c r="B3216" s="89" t="s">
        <v>617</v>
      </c>
      <c r="C3216" s="89">
        <v>35093</v>
      </c>
      <c r="D3216" s="89" t="s">
        <v>663</v>
      </c>
    </row>
    <row r="3217" spans="1:4" x14ac:dyDescent="0.25">
      <c r="A3217" s="89" t="s">
        <v>84</v>
      </c>
      <c r="B3217" s="89" t="s">
        <v>617</v>
      </c>
      <c r="C3217" s="89">
        <v>2681936</v>
      </c>
      <c r="D3217" s="89" t="s">
        <v>664</v>
      </c>
    </row>
    <row r="3218" spans="1:4" x14ac:dyDescent="0.25">
      <c r="A3218" s="89" t="s">
        <v>84</v>
      </c>
      <c r="B3218" s="89" t="s">
        <v>617</v>
      </c>
      <c r="C3218" s="89">
        <v>3306864</v>
      </c>
      <c r="D3218" s="89" t="s">
        <v>663</v>
      </c>
    </row>
    <row r="3219" spans="1:4" x14ac:dyDescent="0.25">
      <c r="A3219" s="89" t="s">
        <v>84</v>
      </c>
      <c r="B3219" s="89" t="s">
        <v>617</v>
      </c>
      <c r="C3219" s="89">
        <v>568281</v>
      </c>
      <c r="D3219" s="89" t="s">
        <v>663</v>
      </c>
    </row>
    <row r="3220" spans="1:4" x14ac:dyDescent="0.25">
      <c r="A3220" s="89" t="s">
        <v>84</v>
      </c>
      <c r="B3220" s="89" t="s">
        <v>617</v>
      </c>
      <c r="C3220" s="89">
        <v>208663</v>
      </c>
      <c r="D3220" s="89" t="s">
        <v>664</v>
      </c>
    </row>
    <row r="3221" spans="1:4" x14ac:dyDescent="0.25">
      <c r="A3221" s="89" t="s">
        <v>84</v>
      </c>
      <c r="B3221" s="89" t="s">
        <v>617</v>
      </c>
      <c r="C3221" s="89">
        <v>540291</v>
      </c>
      <c r="D3221" s="89" t="s">
        <v>664</v>
      </c>
    </row>
    <row r="3222" spans="1:4" x14ac:dyDescent="0.25">
      <c r="A3222" s="89" t="s">
        <v>84</v>
      </c>
      <c r="B3222" s="89" t="s">
        <v>617</v>
      </c>
      <c r="C3222" s="89">
        <v>1276688</v>
      </c>
      <c r="D3222" s="89" t="s">
        <v>664</v>
      </c>
    </row>
    <row r="3223" spans="1:4" x14ac:dyDescent="0.25">
      <c r="A3223" s="89" t="s">
        <v>84</v>
      </c>
      <c r="B3223" s="89" t="s">
        <v>617</v>
      </c>
      <c r="C3223" s="89">
        <v>298846.21000000002</v>
      </c>
      <c r="D3223" s="89" t="s">
        <v>663</v>
      </c>
    </row>
    <row r="3224" spans="1:4" x14ac:dyDescent="0.25">
      <c r="A3224" s="89" t="s">
        <v>84</v>
      </c>
      <c r="B3224" s="89" t="s">
        <v>617</v>
      </c>
      <c r="C3224" s="89">
        <v>1060718</v>
      </c>
      <c r="D3224" s="89" t="s">
        <v>664</v>
      </c>
    </row>
    <row r="3225" spans="1:4" x14ac:dyDescent="0.25">
      <c r="A3225" s="89" t="s">
        <v>84</v>
      </c>
      <c r="B3225" s="89" t="s">
        <v>617</v>
      </c>
      <c r="C3225" s="89">
        <v>123550.79</v>
      </c>
      <c r="D3225" s="89" t="s">
        <v>663</v>
      </c>
    </row>
    <row r="3226" spans="1:4" x14ac:dyDescent="0.25">
      <c r="A3226" s="89" t="s">
        <v>84</v>
      </c>
      <c r="B3226" s="89" t="s">
        <v>617</v>
      </c>
      <c r="C3226" s="89">
        <v>675375</v>
      </c>
      <c r="D3226" s="89" t="s">
        <v>666</v>
      </c>
    </row>
    <row r="3227" spans="1:4" x14ac:dyDescent="0.25">
      <c r="A3227" s="89" t="s">
        <v>84</v>
      </c>
      <c r="B3227" s="89" t="s">
        <v>617</v>
      </c>
      <c r="C3227" s="89">
        <v>5059535.04</v>
      </c>
      <c r="D3227" s="89" t="s">
        <v>664</v>
      </c>
    </row>
    <row r="3228" spans="1:4" x14ac:dyDescent="0.25">
      <c r="A3228" s="89" t="s">
        <v>84</v>
      </c>
      <c r="B3228" s="89" t="s">
        <v>617</v>
      </c>
      <c r="C3228" s="89">
        <v>498676</v>
      </c>
      <c r="D3228" s="89" t="s">
        <v>664</v>
      </c>
    </row>
    <row r="3229" spans="1:4" x14ac:dyDescent="0.25">
      <c r="A3229" s="89" t="s">
        <v>84</v>
      </c>
      <c r="B3229" s="89" t="s">
        <v>617</v>
      </c>
      <c r="C3229" s="89">
        <v>244106</v>
      </c>
      <c r="D3229" s="89" t="s">
        <v>664</v>
      </c>
    </row>
    <row r="3230" spans="1:4" x14ac:dyDescent="0.25">
      <c r="A3230" s="89" t="s">
        <v>84</v>
      </c>
      <c r="B3230" s="89" t="s">
        <v>617</v>
      </c>
      <c r="C3230" s="89">
        <v>-127700</v>
      </c>
      <c r="D3230" s="89" t="s">
        <v>664</v>
      </c>
    </row>
    <row r="3231" spans="1:4" x14ac:dyDescent="0.25">
      <c r="A3231" s="89" t="s">
        <v>84</v>
      </c>
      <c r="B3231" s="89" t="s">
        <v>617</v>
      </c>
      <c r="C3231" s="89">
        <v>-31988</v>
      </c>
      <c r="D3231" s="89" t="s">
        <v>663</v>
      </c>
    </row>
    <row r="3232" spans="1:4" x14ac:dyDescent="0.25">
      <c r="A3232" s="89" t="s">
        <v>84</v>
      </c>
      <c r="B3232" s="89" t="s">
        <v>617</v>
      </c>
      <c r="C3232" s="89">
        <v>498107</v>
      </c>
      <c r="D3232" s="89" t="s">
        <v>666</v>
      </c>
    </row>
    <row r="3233" spans="1:4" x14ac:dyDescent="0.25">
      <c r="A3233" s="89" t="s">
        <v>84</v>
      </c>
      <c r="B3233" s="89" t="s">
        <v>617</v>
      </c>
      <c r="C3233" s="89">
        <v>2150644</v>
      </c>
      <c r="D3233" s="89" t="s">
        <v>664</v>
      </c>
    </row>
    <row r="3234" spans="1:4" x14ac:dyDescent="0.25">
      <c r="A3234" s="89" t="s">
        <v>84</v>
      </c>
      <c r="B3234" s="89" t="s">
        <v>617</v>
      </c>
      <c r="C3234" s="89">
        <v>556324</v>
      </c>
      <c r="D3234" s="89" t="s">
        <v>664</v>
      </c>
    </row>
    <row r="3235" spans="1:4" x14ac:dyDescent="0.25">
      <c r="A3235" s="89" t="s">
        <v>84</v>
      </c>
      <c r="B3235" s="89" t="s">
        <v>617</v>
      </c>
      <c r="C3235" s="89">
        <v>-6338.76</v>
      </c>
      <c r="D3235" s="89" t="s">
        <v>664</v>
      </c>
    </row>
    <row r="3236" spans="1:4" x14ac:dyDescent="0.25">
      <c r="A3236" s="89" t="s">
        <v>84</v>
      </c>
      <c r="B3236" s="89" t="s">
        <v>617</v>
      </c>
      <c r="C3236" s="89">
        <v>-14976.15</v>
      </c>
      <c r="D3236" s="89" t="s">
        <v>664</v>
      </c>
    </row>
    <row r="3237" spans="1:4" x14ac:dyDescent="0.25">
      <c r="A3237" s="89" t="s">
        <v>84</v>
      </c>
      <c r="B3237" s="89" t="s">
        <v>617</v>
      </c>
      <c r="C3237" s="89">
        <v>41077.360000000001</v>
      </c>
      <c r="D3237" s="89" t="s">
        <v>663</v>
      </c>
    </row>
    <row r="3238" spans="1:4" x14ac:dyDescent="0.25">
      <c r="A3238" s="89" t="s">
        <v>84</v>
      </c>
      <c r="B3238" s="89" t="s">
        <v>617</v>
      </c>
      <c r="C3238" s="89">
        <v>486044</v>
      </c>
      <c r="D3238" s="89" t="s">
        <v>666</v>
      </c>
    </row>
    <row r="3239" spans="1:4" x14ac:dyDescent="0.25">
      <c r="A3239" s="89" t="s">
        <v>84</v>
      </c>
      <c r="B3239" s="89" t="s">
        <v>617</v>
      </c>
      <c r="C3239" s="89">
        <v>715461</v>
      </c>
      <c r="D3239" s="89" t="s">
        <v>664</v>
      </c>
    </row>
    <row r="3240" spans="1:4" x14ac:dyDescent="0.25">
      <c r="A3240" s="89" t="s">
        <v>84</v>
      </c>
      <c r="B3240" s="89" t="s">
        <v>617</v>
      </c>
      <c r="C3240" s="89">
        <v>318685</v>
      </c>
      <c r="D3240" s="89" t="s">
        <v>663</v>
      </c>
    </row>
    <row r="3241" spans="1:4" x14ac:dyDescent="0.25">
      <c r="A3241" s="89" t="s">
        <v>84</v>
      </c>
      <c r="B3241" s="89" t="s">
        <v>617</v>
      </c>
      <c r="C3241" s="89">
        <v>1434548</v>
      </c>
      <c r="D3241" s="89" t="s">
        <v>664</v>
      </c>
    </row>
    <row r="3242" spans="1:4" x14ac:dyDescent="0.25">
      <c r="A3242" s="89" t="s">
        <v>84</v>
      </c>
      <c r="B3242" s="89" t="s">
        <v>617</v>
      </c>
      <c r="C3242" s="89">
        <v>8610515</v>
      </c>
      <c r="D3242" s="89" t="s">
        <v>664</v>
      </c>
    </row>
    <row r="3243" spans="1:4" x14ac:dyDescent="0.25">
      <c r="A3243" s="89" t="s">
        <v>84</v>
      </c>
      <c r="B3243" s="89" t="s">
        <v>617</v>
      </c>
      <c r="C3243" s="89">
        <v>796417.62</v>
      </c>
      <c r="D3243" s="89" t="s">
        <v>666</v>
      </c>
    </row>
    <row r="3244" spans="1:4" x14ac:dyDescent="0.25">
      <c r="A3244" s="89" t="s">
        <v>84</v>
      </c>
      <c r="B3244" s="89" t="s">
        <v>617</v>
      </c>
      <c r="C3244" s="89">
        <v>167680</v>
      </c>
      <c r="D3244" s="89" t="s">
        <v>663</v>
      </c>
    </row>
    <row r="3245" spans="1:4" x14ac:dyDescent="0.25">
      <c r="A3245" s="89" t="s">
        <v>84</v>
      </c>
      <c r="B3245" s="89" t="s">
        <v>617</v>
      </c>
      <c r="C3245" s="89">
        <v>2846705.64</v>
      </c>
      <c r="D3245" s="89" t="s">
        <v>664</v>
      </c>
    </row>
    <row r="3246" spans="1:4" x14ac:dyDescent="0.25">
      <c r="A3246" s="89" t="s">
        <v>84</v>
      </c>
      <c r="B3246" s="89" t="s">
        <v>617</v>
      </c>
      <c r="C3246" s="89">
        <v>3874154.76</v>
      </c>
      <c r="D3246" s="89" t="s">
        <v>664</v>
      </c>
    </row>
    <row r="3247" spans="1:4" x14ac:dyDescent="0.25">
      <c r="A3247" s="89" t="s">
        <v>84</v>
      </c>
      <c r="B3247" s="89" t="s">
        <v>617</v>
      </c>
      <c r="C3247" s="89">
        <v>1565715</v>
      </c>
      <c r="D3247" s="89" t="s">
        <v>663</v>
      </c>
    </row>
    <row r="3248" spans="1:4" x14ac:dyDescent="0.25">
      <c r="A3248" s="89" t="s">
        <v>84</v>
      </c>
      <c r="B3248" s="89" t="s">
        <v>617</v>
      </c>
      <c r="C3248" s="89">
        <v>2166096</v>
      </c>
      <c r="D3248" s="89" t="s">
        <v>663</v>
      </c>
    </row>
    <row r="3249" spans="1:4" x14ac:dyDescent="0.25">
      <c r="A3249" s="89" t="s">
        <v>84</v>
      </c>
      <c r="B3249" s="89" t="s">
        <v>617</v>
      </c>
      <c r="C3249" s="89">
        <v>249764</v>
      </c>
      <c r="D3249" s="89" t="s">
        <v>664</v>
      </c>
    </row>
    <row r="3250" spans="1:4" x14ac:dyDescent="0.25">
      <c r="A3250" s="89" t="s">
        <v>84</v>
      </c>
      <c r="B3250" s="89" t="s">
        <v>617</v>
      </c>
      <c r="C3250" s="89">
        <v>106903</v>
      </c>
      <c r="D3250" s="89" t="s">
        <v>663</v>
      </c>
    </row>
    <row r="3251" spans="1:4" x14ac:dyDescent="0.25">
      <c r="A3251" s="89" t="s">
        <v>84</v>
      </c>
      <c r="B3251" s="89" t="s">
        <v>617</v>
      </c>
      <c r="C3251" s="89">
        <v>191289</v>
      </c>
      <c r="D3251" s="89" t="s">
        <v>663</v>
      </c>
    </row>
    <row r="3252" spans="1:4" x14ac:dyDescent="0.25">
      <c r="A3252" s="89" t="s">
        <v>84</v>
      </c>
      <c r="B3252" s="89" t="s">
        <v>617</v>
      </c>
      <c r="C3252" s="89">
        <v>1686362</v>
      </c>
      <c r="D3252" s="89" t="s">
        <v>664</v>
      </c>
    </row>
    <row r="3253" spans="1:4" x14ac:dyDescent="0.25">
      <c r="A3253" s="89" t="s">
        <v>84</v>
      </c>
      <c r="B3253" s="89" t="s">
        <v>617</v>
      </c>
      <c r="C3253" s="89">
        <v>1083232.29</v>
      </c>
      <c r="D3253" s="89" t="s">
        <v>666</v>
      </c>
    </row>
    <row r="3254" spans="1:4" x14ac:dyDescent="0.25">
      <c r="A3254" s="89" t="s">
        <v>84</v>
      </c>
      <c r="B3254" s="89" t="s">
        <v>617</v>
      </c>
      <c r="C3254" s="89">
        <v>141691</v>
      </c>
      <c r="D3254" s="89" t="s">
        <v>664</v>
      </c>
    </row>
    <row r="3255" spans="1:4" x14ac:dyDescent="0.25">
      <c r="A3255" s="89" t="s">
        <v>84</v>
      </c>
      <c r="B3255" s="89" t="s">
        <v>617</v>
      </c>
      <c r="C3255" s="89">
        <v>298800</v>
      </c>
      <c r="D3255" s="89" t="s">
        <v>663</v>
      </c>
    </row>
    <row r="3256" spans="1:4" x14ac:dyDescent="0.25">
      <c r="A3256" s="89" t="s">
        <v>84</v>
      </c>
      <c r="B3256" s="89" t="s">
        <v>617</v>
      </c>
      <c r="C3256" s="89">
        <v>103139</v>
      </c>
      <c r="D3256" s="89" t="s">
        <v>663</v>
      </c>
    </row>
    <row r="3257" spans="1:4" x14ac:dyDescent="0.25">
      <c r="A3257" s="89" t="s">
        <v>84</v>
      </c>
      <c r="B3257" s="89" t="s">
        <v>617</v>
      </c>
      <c r="C3257" s="89">
        <v>294836</v>
      </c>
      <c r="D3257" s="89" t="s">
        <v>663</v>
      </c>
    </row>
    <row r="3258" spans="1:4" x14ac:dyDescent="0.25">
      <c r="A3258" s="89" t="s">
        <v>84</v>
      </c>
      <c r="B3258" s="89" t="s">
        <v>617</v>
      </c>
      <c r="C3258" s="89">
        <v>1763366</v>
      </c>
      <c r="D3258" s="89" t="s">
        <v>664</v>
      </c>
    </row>
    <row r="3259" spans="1:4" x14ac:dyDescent="0.25">
      <c r="A3259" s="89" t="s">
        <v>84</v>
      </c>
      <c r="B3259" s="89" t="s">
        <v>617</v>
      </c>
      <c r="C3259" s="89">
        <v>3763785</v>
      </c>
      <c r="D3259" s="89" t="s">
        <v>663</v>
      </c>
    </row>
    <row r="3260" spans="1:4" x14ac:dyDescent="0.25">
      <c r="A3260" s="89" t="s">
        <v>84</v>
      </c>
      <c r="B3260" s="89" t="s">
        <v>617</v>
      </c>
      <c r="C3260" s="89">
        <v>107646</v>
      </c>
      <c r="D3260" s="89" t="s">
        <v>663</v>
      </c>
    </row>
    <row r="3261" spans="1:4" x14ac:dyDescent="0.25">
      <c r="A3261" s="89" t="s">
        <v>84</v>
      </c>
      <c r="B3261" s="89" t="s">
        <v>617</v>
      </c>
      <c r="C3261" s="89">
        <v>2412466</v>
      </c>
      <c r="D3261" s="89" t="s">
        <v>664</v>
      </c>
    </row>
    <row r="3262" spans="1:4" x14ac:dyDescent="0.25">
      <c r="A3262" s="89" t="s">
        <v>84</v>
      </c>
      <c r="B3262" s="89" t="s">
        <v>617</v>
      </c>
      <c r="C3262" s="89">
        <v>3157711</v>
      </c>
      <c r="D3262" s="89" t="s">
        <v>664</v>
      </c>
    </row>
    <row r="3263" spans="1:4" x14ac:dyDescent="0.25">
      <c r="A3263" s="89" t="s">
        <v>84</v>
      </c>
      <c r="B3263" s="89" t="s">
        <v>617</v>
      </c>
      <c r="C3263" s="89">
        <v>7583543</v>
      </c>
      <c r="D3263" s="89" t="s">
        <v>664</v>
      </c>
    </row>
    <row r="3264" spans="1:4" x14ac:dyDescent="0.25">
      <c r="A3264" s="89" t="s">
        <v>84</v>
      </c>
      <c r="B3264" s="89" t="s">
        <v>617</v>
      </c>
      <c r="C3264" s="89">
        <v>35040</v>
      </c>
      <c r="D3264" s="89" t="s">
        <v>663</v>
      </c>
    </row>
    <row r="3265" spans="1:4" x14ac:dyDescent="0.25">
      <c r="A3265" s="89" t="s">
        <v>84</v>
      </c>
      <c r="B3265" s="89" t="s">
        <v>617</v>
      </c>
      <c r="C3265" s="89">
        <v>591931</v>
      </c>
      <c r="D3265" s="89" t="s">
        <v>664</v>
      </c>
    </row>
    <row r="3266" spans="1:4" x14ac:dyDescent="0.25">
      <c r="A3266" s="89" t="s">
        <v>84</v>
      </c>
      <c r="B3266" s="89" t="s">
        <v>617</v>
      </c>
      <c r="C3266" s="89">
        <v>146445</v>
      </c>
      <c r="D3266" s="89" t="s">
        <v>663</v>
      </c>
    </row>
    <row r="3267" spans="1:4" x14ac:dyDescent="0.25">
      <c r="A3267" s="89" t="s">
        <v>84</v>
      </c>
      <c r="B3267" s="89" t="s">
        <v>617</v>
      </c>
      <c r="C3267" s="89">
        <v>899578</v>
      </c>
      <c r="D3267" s="89" t="s">
        <v>663</v>
      </c>
    </row>
    <row r="3268" spans="1:4" x14ac:dyDescent="0.25">
      <c r="A3268" s="89" t="s">
        <v>84</v>
      </c>
      <c r="B3268" s="89" t="s">
        <v>617</v>
      </c>
      <c r="C3268" s="89">
        <v>935988.39</v>
      </c>
      <c r="D3268" s="89" t="s">
        <v>664</v>
      </c>
    </row>
    <row r="3269" spans="1:4" x14ac:dyDescent="0.25">
      <c r="A3269" s="89" t="s">
        <v>84</v>
      </c>
      <c r="B3269" s="89" t="s">
        <v>617</v>
      </c>
      <c r="C3269" s="89">
        <v>507323</v>
      </c>
      <c r="D3269" s="89" t="s">
        <v>664</v>
      </c>
    </row>
    <row r="3270" spans="1:4" x14ac:dyDescent="0.25">
      <c r="A3270" s="89" t="s">
        <v>84</v>
      </c>
      <c r="B3270" s="89" t="s">
        <v>617</v>
      </c>
      <c r="C3270" s="89">
        <v>723939.42</v>
      </c>
      <c r="D3270" s="89" t="s">
        <v>666</v>
      </c>
    </row>
    <row r="3271" spans="1:4" x14ac:dyDescent="0.25">
      <c r="A3271" s="89" t="s">
        <v>84</v>
      </c>
      <c r="B3271" s="89" t="s">
        <v>617</v>
      </c>
      <c r="C3271" s="89">
        <v>725371</v>
      </c>
      <c r="D3271" s="89" t="s">
        <v>664</v>
      </c>
    </row>
    <row r="3272" spans="1:4" x14ac:dyDescent="0.25">
      <c r="A3272" s="89" t="s">
        <v>84</v>
      </c>
      <c r="B3272" s="89" t="s">
        <v>617</v>
      </c>
      <c r="C3272" s="89">
        <v>-63846.04</v>
      </c>
      <c r="D3272" s="89" t="s">
        <v>663</v>
      </c>
    </row>
    <row r="3273" spans="1:4" x14ac:dyDescent="0.25">
      <c r="A3273" s="89" t="s">
        <v>84</v>
      </c>
      <c r="B3273" s="89" t="s">
        <v>617</v>
      </c>
      <c r="C3273" s="89">
        <v>355450.21</v>
      </c>
      <c r="D3273" s="89" t="s">
        <v>664</v>
      </c>
    </row>
    <row r="3274" spans="1:4" x14ac:dyDescent="0.25">
      <c r="A3274" s="89" t="s">
        <v>84</v>
      </c>
      <c r="B3274" s="89" t="s">
        <v>617</v>
      </c>
      <c r="C3274" s="89">
        <v>262832</v>
      </c>
      <c r="D3274" s="89" t="s">
        <v>666</v>
      </c>
    </row>
    <row r="3275" spans="1:4" x14ac:dyDescent="0.25">
      <c r="A3275" s="89" t="s">
        <v>84</v>
      </c>
      <c r="B3275" s="89" t="s">
        <v>617</v>
      </c>
      <c r="C3275" s="89">
        <v>10599833</v>
      </c>
      <c r="D3275" s="89" t="s">
        <v>664</v>
      </c>
    </row>
    <row r="3276" spans="1:4" x14ac:dyDescent="0.25">
      <c r="A3276" s="89" t="s">
        <v>84</v>
      </c>
      <c r="B3276" s="89" t="s">
        <v>617</v>
      </c>
      <c r="C3276" s="89">
        <v>133775</v>
      </c>
      <c r="D3276" s="89" t="s">
        <v>663</v>
      </c>
    </row>
    <row r="3277" spans="1:4" x14ac:dyDescent="0.25">
      <c r="A3277" s="89" t="s">
        <v>84</v>
      </c>
      <c r="B3277" s="89" t="s">
        <v>617</v>
      </c>
      <c r="C3277" s="89">
        <v>197969.58</v>
      </c>
      <c r="D3277" s="89" t="s">
        <v>666</v>
      </c>
    </row>
    <row r="3278" spans="1:4" x14ac:dyDescent="0.25">
      <c r="A3278" s="89" t="s">
        <v>84</v>
      </c>
      <c r="B3278" s="89" t="s">
        <v>617</v>
      </c>
      <c r="C3278" s="89">
        <v>9712843</v>
      </c>
      <c r="D3278" s="89" t="s">
        <v>664</v>
      </c>
    </row>
    <row r="3279" spans="1:4" x14ac:dyDescent="0.25">
      <c r="A3279" s="89" t="s">
        <v>84</v>
      </c>
      <c r="B3279" s="89" t="s">
        <v>617</v>
      </c>
      <c r="C3279" s="89">
        <v>1224453</v>
      </c>
      <c r="D3279" s="89" t="s">
        <v>664</v>
      </c>
    </row>
    <row r="3280" spans="1:4" x14ac:dyDescent="0.25">
      <c r="A3280" s="89" t="s">
        <v>84</v>
      </c>
      <c r="B3280" s="89" t="s">
        <v>617</v>
      </c>
      <c r="C3280" s="89">
        <v>700695</v>
      </c>
      <c r="D3280" s="89" t="s">
        <v>666</v>
      </c>
    </row>
    <row r="3281" spans="1:4" x14ac:dyDescent="0.25">
      <c r="A3281" s="89" t="s">
        <v>84</v>
      </c>
      <c r="B3281" s="89" t="s">
        <v>617</v>
      </c>
      <c r="C3281" s="89">
        <v>9822305</v>
      </c>
      <c r="D3281" s="89" t="s">
        <v>664</v>
      </c>
    </row>
    <row r="3282" spans="1:4" x14ac:dyDescent="0.25">
      <c r="A3282" s="89" t="s">
        <v>84</v>
      </c>
      <c r="B3282" s="89" t="s">
        <v>617</v>
      </c>
      <c r="C3282" s="89">
        <v>1753525</v>
      </c>
      <c r="D3282" s="89" t="s">
        <v>663</v>
      </c>
    </row>
    <row r="3283" spans="1:4" x14ac:dyDescent="0.25">
      <c r="A3283" s="89" t="s">
        <v>84</v>
      </c>
      <c r="B3283" s="89" t="s">
        <v>617</v>
      </c>
      <c r="C3283" s="89">
        <v>5608624</v>
      </c>
      <c r="D3283" s="89" t="s">
        <v>664</v>
      </c>
    </row>
    <row r="3284" spans="1:4" x14ac:dyDescent="0.25">
      <c r="A3284" s="89" t="s">
        <v>84</v>
      </c>
      <c r="B3284" s="89" t="s">
        <v>617</v>
      </c>
      <c r="C3284" s="89">
        <v>3666849</v>
      </c>
      <c r="D3284" s="89" t="s">
        <v>664</v>
      </c>
    </row>
    <row r="3285" spans="1:4" x14ac:dyDescent="0.25">
      <c r="A3285" s="89" t="s">
        <v>84</v>
      </c>
      <c r="B3285" s="89" t="s">
        <v>617</v>
      </c>
      <c r="C3285" s="89">
        <v>9355700</v>
      </c>
      <c r="D3285" s="89" t="s">
        <v>664</v>
      </c>
    </row>
    <row r="3286" spans="1:4" x14ac:dyDescent="0.25">
      <c r="A3286" s="89" t="s">
        <v>84</v>
      </c>
      <c r="B3286" s="89" t="s">
        <v>617</v>
      </c>
      <c r="C3286" s="89">
        <v>5761347</v>
      </c>
      <c r="D3286" s="89" t="s">
        <v>664</v>
      </c>
    </row>
    <row r="3287" spans="1:4" x14ac:dyDescent="0.25">
      <c r="A3287" s="89" t="s">
        <v>84</v>
      </c>
      <c r="B3287" s="89" t="s">
        <v>617</v>
      </c>
      <c r="C3287" s="89">
        <v>227471</v>
      </c>
      <c r="D3287" s="89" t="s">
        <v>664</v>
      </c>
    </row>
    <row r="3288" spans="1:4" x14ac:dyDescent="0.25">
      <c r="A3288" s="89" t="s">
        <v>84</v>
      </c>
      <c r="B3288" s="89" t="s">
        <v>617</v>
      </c>
      <c r="C3288" s="89">
        <v>12299965</v>
      </c>
      <c r="D3288" s="89" t="s">
        <v>664</v>
      </c>
    </row>
    <row r="3289" spans="1:4" x14ac:dyDescent="0.25">
      <c r="A3289" s="89" t="s">
        <v>84</v>
      </c>
      <c r="B3289" s="89" t="s">
        <v>617</v>
      </c>
      <c r="C3289" s="89">
        <v>1106951</v>
      </c>
      <c r="D3289" s="89" t="s">
        <v>664</v>
      </c>
    </row>
    <row r="3290" spans="1:4" x14ac:dyDescent="0.25">
      <c r="A3290" s="89" t="s">
        <v>84</v>
      </c>
      <c r="B3290" s="89" t="s">
        <v>617</v>
      </c>
      <c r="C3290" s="89">
        <v>1013260.97</v>
      </c>
      <c r="D3290" s="89" t="s">
        <v>666</v>
      </c>
    </row>
    <row r="3291" spans="1:4" x14ac:dyDescent="0.25">
      <c r="A3291" s="89" t="s">
        <v>84</v>
      </c>
      <c r="B3291" s="89" t="s">
        <v>617</v>
      </c>
      <c r="C3291" s="89">
        <v>50000</v>
      </c>
      <c r="D3291" s="89" t="s">
        <v>666</v>
      </c>
    </row>
    <row r="3292" spans="1:4" x14ac:dyDescent="0.25">
      <c r="A3292" s="89" t="s">
        <v>84</v>
      </c>
      <c r="B3292" s="89" t="s">
        <v>617</v>
      </c>
      <c r="C3292" s="89">
        <v>1429622</v>
      </c>
      <c r="D3292" s="89" t="s">
        <v>666</v>
      </c>
    </row>
    <row r="3293" spans="1:4" x14ac:dyDescent="0.25">
      <c r="A3293" s="89" t="s">
        <v>84</v>
      </c>
      <c r="B3293" s="89" t="s">
        <v>617</v>
      </c>
      <c r="C3293" s="89">
        <v>721632</v>
      </c>
      <c r="D3293" s="89" t="s">
        <v>663</v>
      </c>
    </row>
    <row r="3294" spans="1:4" x14ac:dyDescent="0.25">
      <c r="A3294" s="89" t="s">
        <v>84</v>
      </c>
      <c r="B3294" s="89" t="s">
        <v>617</v>
      </c>
      <c r="C3294" s="89">
        <v>2978077</v>
      </c>
      <c r="D3294" s="89" t="s">
        <v>664</v>
      </c>
    </row>
    <row r="3295" spans="1:4" x14ac:dyDescent="0.25">
      <c r="A3295" s="89" t="s">
        <v>84</v>
      </c>
      <c r="B3295" s="89" t="s">
        <v>617</v>
      </c>
      <c r="C3295" s="89">
        <v>2049992</v>
      </c>
      <c r="D3295" s="89" t="s">
        <v>666</v>
      </c>
    </row>
    <row r="3296" spans="1:4" x14ac:dyDescent="0.25">
      <c r="A3296" s="89" t="s">
        <v>84</v>
      </c>
      <c r="B3296" s="89" t="s">
        <v>617</v>
      </c>
      <c r="C3296" s="89">
        <v>1514698</v>
      </c>
      <c r="D3296" s="89" t="s">
        <v>663</v>
      </c>
    </row>
    <row r="3297" spans="1:4" x14ac:dyDescent="0.25">
      <c r="A3297" s="89" t="s">
        <v>84</v>
      </c>
      <c r="B3297" s="89" t="s">
        <v>617</v>
      </c>
      <c r="C3297" s="89">
        <v>568169.14</v>
      </c>
      <c r="D3297" s="89" t="s">
        <v>666</v>
      </c>
    </row>
    <row r="3298" spans="1:4" x14ac:dyDescent="0.25">
      <c r="A3298" s="89" t="s">
        <v>84</v>
      </c>
      <c r="B3298" s="89" t="s">
        <v>617</v>
      </c>
      <c r="C3298" s="89">
        <v>833396</v>
      </c>
      <c r="D3298" s="89" t="s">
        <v>663</v>
      </c>
    </row>
    <row r="3299" spans="1:4" x14ac:dyDescent="0.25">
      <c r="A3299" s="89" t="s">
        <v>83</v>
      </c>
      <c r="B3299" s="89" t="s">
        <v>617</v>
      </c>
      <c r="C3299" s="89">
        <v>6363507</v>
      </c>
      <c r="D3299" s="89" t="s">
        <v>664</v>
      </c>
    </row>
    <row r="3300" spans="1:4" x14ac:dyDescent="0.25">
      <c r="A3300" s="89" t="s">
        <v>83</v>
      </c>
      <c r="B3300" s="89" t="s">
        <v>617</v>
      </c>
      <c r="C3300" s="89">
        <v>3992215</v>
      </c>
      <c r="D3300" s="89" t="s">
        <v>663</v>
      </c>
    </row>
    <row r="3301" spans="1:4" x14ac:dyDescent="0.25">
      <c r="A3301" s="89" t="s">
        <v>83</v>
      </c>
      <c r="B3301" s="89" t="s">
        <v>617</v>
      </c>
      <c r="C3301" s="89">
        <v>10000000</v>
      </c>
      <c r="D3301" s="89" t="s">
        <v>663</v>
      </c>
    </row>
    <row r="3302" spans="1:4" x14ac:dyDescent="0.25">
      <c r="A3302" s="89" t="s">
        <v>83</v>
      </c>
      <c r="B3302" s="89" t="s">
        <v>617</v>
      </c>
      <c r="C3302" s="89">
        <v>5191079</v>
      </c>
      <c r="D3302" s="89" t="s">
        <v>663</v>
      </c>
    </row>
    <row r="3303" spans="1:4" x14ac:dyDescent="0.25">
      <c r="A3303" s="89" t="s">
        <v>83</v>
      </c>
      <c r="B3303" s="89" t="s">
        <v>617</v>
      </c>
      <c r="C3303" s="89">
        <v>14319808.390000001</v>
      </c>
      <c r="D3303" s="89" t="s">
        <v>663</v>
      </c>
    </row>
    <row r="3304" spans="1:4" x14ac:dyDescent="0.25">
      <c r="A3304" s="89" t="s">
        <v>83</v>
      </c>
      <c r="B3304" s="89" t="s">
        <v>617</v>
      </c>
      <c r="C3304" s="89">
        <v>2927118</v>
      </c>
      <c r="D3304" s="89" t="s">
        <v>665</v>
      </c>
    </row>
    <row r="3305" spans="1:4" x14ac:dyDescent="0.25">
      <c r="A3305" s="89" t="s">
        <v>83</v>
      </c>
      <c r="B3305" s="89" t="s">
        <v>617</v>
      </c>
      <c r="C3305" s="89">
        <v>4453822</v>
      </c>
      <c r="D3305" s="89" t="s">
        <v>663</v>
      </c>
    </row>
    <row r="3306" spans="1:4" x14ac:dyDescent="0.25">
      <c r="A3306" s="89" t="s">
        <v>83</v>
      </c>
      <c r="B3306" s="89" t="s">
        <v>617</v>
      </c>
      <c r="C3306" s="89">
        <v>5306582</v>
      </c>
      <c r="D3306" s="89" t="s">
        <v>663</v>
      </c>
    </row>
    <row r="3307" spans="1:4" x14ac:dyDescent="0.25">
      <c r="A3307" s="89" t="s">
        <v>83</v>
      </c>
      <c r="B3307" s="89" t="s">
        <v>617</v>
      </c>
      <c r="C3307" s="89">
        <v>455715</v>
      </c>
      <c r="D3307" s="89" t="s">
        <v>665</v>
      </c>
    </row>
    <row r="3308" spans="1:4" x14ac:dyDescent="0.25">
      <c r="A3308" s="89" t="s">
        <v>83</v>
      </c>
      <c r="B3308" s="89" t="s">
        <v>617</v>
      </c>
      <c r="C3308" s="89">
        <v>5076095</v>
      </c>
      <c r="D3308" s="89" t="s">
        <v>663</v>
      </c>
    </row>
    <row r="3309" spans="1:4" x14ac:dyDescent="0.25">
      <c r="A3309" s="89" t="s">
        <v>83</v>
      </c>
      <c r="B3309" s="89" t="s">
        <v>617</v>
      </c>
      <c r="C3309" s="89">
        <v>14961663.5</v>
      </c>
      <c r="D3309" s="89" t="s">
        <v>664</v>
      </c>
    </row>
    <row r="3310" spans="1:4" x14ac:dyDescent="0.25">
      <c r="A3310" s="89" t="s">
        <v>83</v>
      </c>
      <c r="B3310" s="89" t="s">
        <v>617</v>
      </c>
      <c r="C3310" s="89">
        <v>12400343.5</v>
      </c>
      <c r="D3310" s="89" t="s">
        <v>665</v>
      </c>
    </row>
    <row r="3311" spans="1:4" x14ac:dyDescent="0.25">
      <c r="A3311" s="89" t="s">
        <v>83</v>
      </c>
      <c r="B3311" s="89" t="s">
        <v>617</v>
      </c>
      <c r="C3311" s="89">
        <v>17606543</v>
      </c>
      <c r="D3311" s="89" t="s">
        <v>663</v>
      </c>
    </row>
    <row r="3312" spans="1:4" x14ac:dyDescent="0.25">
      <c r="A3312" s="89" t="s">
        <v>83</v>
      </c>
      <c r="B3312" s="89" t="s">
        <v>617</v>
      </c>
      <c r="C3312" s="89">
        <v>570000</v>
      </c>
      <c r="D3312" s="89" t="s">
        <v>663</v>
      </c>
    </row>
    <row r="3313" spans="1:4" x14ac:dyDescent="0.25">
      <c r="A3313" s="89" t="s">
        <v>83</v>
      </c>
      <c r="B3313" s="89" t="s">
        <v>617</v>
      </c>
      <c r="C3313" s="89">
        <v>3721540</v>
      </c>
      <c r="D3313" s="89" t="s">
        <v>664</v>
      </c>
    </row>
    <row r="3314" spans="1:4" x14ac:dyDescent="0.25">
      <c r="A3314" s="89" t="s">
        <v>83</v>
      </c>
      <c r="B3314" s="89" t="s">
        <v>617</v>
      </c>
      <c r="C3314" s="89">
        <v>590450.27</v>
      </c>
      <c r="D3314" s="89" t="s">
        <v>665</v>
      </c>
    </row>
    <row r="3315" spans="1:4" x14ac:dyDescent="0.25">
      <c r="A3315" s="89" t="s">
        <v>83</v>
      </c>
      <c r="B3315" s="89" t="s">
        <v>617</v>
      </c>
      <c r="C3315" s="89">
        <v>2241323</v>
      </c>
      <c r="D3315" s="89" t="s">
        <v>663</v>
      </c>
    </row>
    <row r="3316" spans="1:4" x14ac:dyDescent="0.25">
      <c r="A3316" s="89" t="s">
        <v>83</v>
      </c>
      <c r="B3316" s="89" t="s">
        <v>617</v>
      </c>
      <c r="C3316" s="89">
        <v>31854987.75</v>
      </c>
      <c r="D3316" s="89" t="s">
        <v>663</v>
      </c>
    </row>
    <row r="3317" spans="1:4" x14ac:dyDescent="0.25">
      <c r="A3317" s="89" t="s">
        <v>83</v>
      </c>
      <c r="B3317" s="89" t="s">
        <v>617</v>
      </c>
      <c r="C3317" s="89">
        <v>2912278</v>
      </c>
      <c r="D3317" s="89" t="s">
        <v>663</v>
      </c>
    </row>
    <row r="3318" spans="1:4" x14ac:dyDescent="0.25">
      <c r="A3318" s="89" t="s">
        <v>83</v>
      </c>
      <c r="B3318" s="89" t="s">
        <v>617</v>
      </c>
      <c r="C3318" s="89">
        <v>3682592.46</v>
      </c>
      <c r="D3318" s="89" t="s">
        <v>665</v>
      </c>
    </row>
    <row r="3319" spans="1:4" x14ac:dyDescent="0.25">
      <c r="A3319" s="89" t="s">
        <v>83</v>
      </c>
      <c r="B3319" s="89" t="s">
        <v>617</v>
      </c>
      <c r="C3319" s="89">
        <v>16352894</v>
      </c>
      <c r="D3319" s="89" t="s">
        <v>663</v>
      </c>
    </row>
    <row r="3320" spans="1:4" x14ac:dyDescent="0.25">
      <c r="A3320" s="89" t="s">
        <v>83</v>
      </c>
      <c r="B3320" s="89" t="s">
        <v>617</v>
      </c>
      <c r="C3320" s="89">
        <v>17405098.079999998</v>
      </c>
      <c r="D3320" s="89" t="s">
        <v>663</v>
      </c>
    </row>
    <row r="3321" spans="1:4" x14ac:dyDescent="0.25">
      <c r="A3321" s="89" t="s">
        <v>83</v>
      </c>
      <c r="B3321" s="89" t="s">
        <v>617</v>
      </c>
      <c r="C3321" s="89">
        <v>50000</v>
      </c>
      <c r="D3321" s="89" t="s">
        <v>666</v>
      </c>
    </row>
    <row r="3322" spans="1:4" x14ac:dyDescent="0.25">
      <c r="A3322" s="89" t="s">
        <v>83</v>
      </c>
      <c r="B3322" s="89" t="s">
        <v>617</v>
      </c>
      <c r="C3322" s="89">
        <v>7677392</v>
      </c>
      <c r="D3322" s="89" t="s">
        <v>663</v>
      </c>
    </row>
    <row r="3323" spans="1:4" x14ac:dyDescent="0.25">
      <c r="A3323" s="89" t="s">
        <v>83</v>
      </c>
      <c r="B3323" s="89" t="s">
        <v>617</v>
      </c>
      <c r="C3323" s="89">
        <v>1984730</v>
      </c>
      <c r="D3323" s="89" t="s">
        <v>663</v>
      </c>
    </row>
    <row r="3324" spans="1:4" x14ac:dyDescent="0.25">
      <c r="A3324" s="89" t="s">
        <v>83</v>
      </c>
      <c r="B3324" s="89" t="s">
        <v>617</v>
      </c>
      <c r="C3324" s="89">
        <v>6547722.5099999998</v>
      </c>
      <c r="D3324" s="89" t="s">
        <v>663</v>
      </c>
    </row>
    <row r="3325" spans="1:4" x14ac:dyDescent="0.25">
      <c r="A3325" s="89" t="s">
        <v>83</v>
      </c>
      <c r="B3325" s="89" t="s">
        <v>617</v>
      </c>
      <c r="C3325" s="89">
        <v>14270237</v>
      </c>
      <c r="D3325" s="89" t="s">
        <v>663</v>
      </c>
    </row>
    <row r="3326" spans="1:4" x14ac:dyDescent="0.25">
      <c r="A3326" s="89" t="s">
        <v>83</v>
      </c>
      <c r="B3326" s="89" t="s">
        <v>617</v>
      </c>
      <c r="C3326" s="89">
        <v>314000</v>
      </c>
      <c r="D3326" s="89" t="s">
        <v>663</v>
      </c>
    </row>
    <row r="3327" spans="1:4" x14ac:dyDescent="0.25">
      <c r="A3327" s="89" t="s">
        <v>83</v>
      </c>
      <c r="B3327" s="89" t="s">
        <v>617</v>
      </c>
      <c r="C3327" s="89">
        <v>14384939</v>
      </c>
      <c r="D3327" s="89" t="s">
        <v>663</v>
      </c>
    </row>
    <row r="3328" spans="1:4" x14ac:dyDescent="0.25">
      <c r="A3328" s="89" t="s">
        <v>83</v>
      </c>
      <c r="B3328" s="89" t="s">
        <v>617</v>
      </c>
      <c r="C3328" s="89">
        <v>2775106</v>
      </c>
      <c r="D3328" s="89" t="s">
        <v>666</v>
      </c>
    </row>
    <row r="3329" spans="1:4" x14ac:dyDescent="0.25">
      <c r="A3329" s="89" t="s">
        <v>83</v>
      </c>
      <c r="B3329" s="89" t="s">
        <v>617</v>
      </c>
      <c r="C3329" s="89">
        <v>15879270.42</v>
      </c>
      <c r="D3329" s="89" t="s">
        <v>663</v>
      </c>
    </row>
    <row r="3330" spans="1:4" x14ac:dyDescent="0.25">
      <c r="A3330" s="89" t="s">
        <v>83</v>
      </c>
      <c r="B3330" s="89" t="s">
        <v>617</v>
      </c>
      <c r="C3330" s="89">
        <v>7888702.7000000002</v>
      </c>
      <c r="D3330" s="89" t="s">
        <v>663</v>
      </c>
    </row>
    <row r="3331" spans="1:4" x14ac:dyDescent="0.25">
      <c r="A3331" s="89" t="s">
        <v>83</v>
      </c>
      <c r="B3331" s="89" t="s">
        <v>617</v>
      </c>
      <c r="C3331" s="89">
        <v>150371</v>
      </c>
      <c r="D3331" s="89" t="s">
        <v>663</v>
      </c>
    </row>
    <row r="3332" spans="1:4" x14ac:dyDescent="0.25">
      <c r="A3332" s="89" t="s">
        <v>83</v>
      </c>
      <c r="B3332" s="89" t="s">
        <v>617</v>
      </c>
      <c r="C3332" s="89">
        <v>15046294</v>
      </c>
      <c r="D3332" s="89" t="s">
        <v>663</v>
      </c>
    </row>
    <row r="3333" spans="1:4" x14ac:dyDescent="0.25">
      <c r="A3333" s="89" t="s">
        <v>83</v>
      </c>
      <c r="B3333" s="89" t="s">
        <v>617</v>
      </c>
      <c r="C3333" s="89">
        <v>15491137.84</v>
      </c>
      <c r="D3333" s="89" t="s">
        <v>663</v>
      </c>
    </row>
    <row r="3334" spans="1:4" x14ac:dyDescent="0.25">
      <c r="A3334" s="89" t="s">
        <v>83</v>
      </c>
      <c r="B3334" s="89" t="s">
        <v>617</v>
      </c>
      <c r="C3334" s="89">
        <v>11594207</v>
      </c>
      <c r="D3334" s="89" t="s">
        <v>664</v>
      </c>
    </row>
    <row r="3335" spans="1:4" x14ac:dyDescent="0.25">
      <c r="A3335" s="89" t="s">
        <v>83</v>
      </c>
      <c r="B3335" s="89" t="s">
        <v>617</v>
      </c>
      <c r="C3335" s="89">
        <v>11213437.24</v>
      </c>
      <c r="D3335" s="89" t="s">
        <v>663</v>
      </c>
    </row>
    <row r="3336" spans="1:4" x14ac:dyDescent="0.25">
      <c r="A3336" s="89" t="s">
        <v>83</v>
      </c>
      <c r="B3336" s="89" t="s">
        <v>617</v>
      </c>
      <c r="C3336" s="89">
        <v>6274183</v>
      </c>
      <c r="D3336" s="89" t="s">
        <v>663</v>
      </c>
    </row>
    <row r="3337" spans="1:4" x14ac:dyDescent="0.25">
      <c r="A3337" s="89" t="s">
        <v>83</v>
      </c>
      <c r="B3337" s="89" t="s">
        <v>617</v>
      </c>
      <c r="C3337" s="89">
        <v>1289448</v>
      </c>
      <c r="D3337" s="89" t="s">
        <v>665</v>
      </c>
    </row>
    <row r="3338" spans="1:4" x14ac:dyDescent="0.25">
      <c r="A3338" s="89" t="s">
        <v>83</v>
      </c>
      <c r="B3338" s="89" t="s">
        <v>617</v>
      </c>
      <c r="C3338" s="89">
        <v>4264050.66</v>
      </c>
      <c r="D3338" s="89" t="s">
        <v>663</v>
      </c>
    </row>
    <row r="3339" spans="1:4" x14ac:dyDescent="0.25">
      <c r="A3339" s="89" t="s">
        <v>83</v>
      </c>
      <c r="B3339" s="89" t="s">
        <v>617</v>
      </c>
      <c r="C3339" s="89">
        <v>12599709.890000001</v>
      </c>
      <c r="D3339" s="89" t="s">
        <v>663</v>
      </c>
    </row>
    <row r="3340" spans="1:4" x14ac:dyDescent="0.25">
      <c r="A3340" s="89" t="s">
        <v>83</v>
      </c>
      <c r="B3340" s="89" t="s">
        <v>617</v>
      </c>
      <c r="C3340" s="89">
        <v>5492126</v>
      </c>
      <c r="D3340" s="89" t="s">
        <v>664</v>
      </c>
    </row>
    <row r="3341" spans="1:4" x14ac:dyDescent="0.25">
      <c r="A3341" s="89" t="s">
        <v>83</v>
      </c>
      <c r="B3341" s="89" t="s">
        <v>617</v>
      </c>
      <c r="C3341" s="89">
        <v>2500000</v>
      </c>
      <c r="D3341" s="89" t="s">
        <v>663</v>
      </c>
    </row>
    <row r="3342" spans="1:4" x14ac:dyDescent="0.25">
      <c r="A3342" s="89" t="s">
        <v>83</v>
      </c>
      <c r="B3342" s="89" t="s">
        <v>617</v>
      </c>
      <c r="C3342" s="89">
        <v>8587365.6199999992</v>
      </c>
      <c r="D3342" s="89" t="s">
        <v>664</v>
      </c>
    </row>
    <row r="3343" spans="1:4" x14ac:dyDescent="0.25">
      <c r="A3343" s="89" t="s">
        <v>83</v>
      </c>
      <c r="B3343" s="89" t="s">
        <v>617</v>
      </c>
      <c r="C3343" s="89">
        <v>2510498.33</v>
      </c>
      <c r="D3343" s="89" t="s">
        <v>665</v>
      </c>
    </row>
    <row r="3344" spans="1:4" x14ac:dyDescent="0.25">
      <c r="A3344" s="89" t="s">
        <v>83</v>
      </c>
      <c r="B3344" s="89" t="s">
        <v>617</v>
      </c>
      <c r="C3344" s="89">
        <v>2486843</v>
      </c>
      <c r="D3344" s="89" t="s">
        <v>664</v>
      </c>
    </row>
    <row r="3345" spans="1:4" x14ac:dyDescent="0.25">
      <c r="A3345" s="89" t="s">
        <v>83</v>
      </c>
      <c r="B3345" s="89" t="s">
        <v>617</v>
      </c>
      <c r="C3345" s="89">
        <v>1409392.47</v>
      </c>
      <c r="D3345" s="89" t="s">
        <v>664</v>
      </c>
    </row>
    <row r="3346" spans="1:4" x14ac:dyDescent="0.25">
      <c r="A3346" s="89" t="s">
        <v>83</v>
      </c>
      <c r="B3346" s="89" t="s">
        <v>617</v>
      </c>
      <c r="C3346" s="89">
        <v>846000</v>
      </c>
      <c r="D3346" s="89" t="s">
        <v>664</v>
      </c>
    </row>
    <row r="3347" spans="1:4" x14ac:dyDescent="0.25">
      <c r="A3347" s="89" t="s">
        <v>83</v>
      </c>
      <c r="B3347" s="89" t="s">
        <v>617</v>
      </c>
      <c r="C3347" s="89">
        <v>2092700</v>
      </c>
      <c r="D3347" s="89" t="s">
        <v>664</v>
      </c>
    </row>
    <row r="3348" spans="1:4" x14ac:dyDescent="0.25">
      <c r="A3348" s="89" t="s">
        <v>83</v>
      </c>
      <c r="B3348" s="89" t="s">
        <v>617</v>
      </c>
      <c r="C3348" s="89">
        <v>1151365</v>
      </c>
      <c r="D3348" s="89" t="s">
        <v>664</v>
      </c>
    </row>
    <row r="3349" spans="1:4" x14ac:dyDescent="0.25">
      <c r="A3349" s="89" t="s">
        <v>83</v>
      </c>
      <c r="B3349" s="89" t="s">
        <v>617</v>
      </c>
      <c r="C3349" s="89">
        <v>6157730.9500000002</v>
      </c>
      <c r="D3349" s="89" t="s">
        <v>664</v>
      </c>
    </row>
    <row r="3350" spans="1:4" x14ac:dyDescent="0.25">
      <c r="A3350" s="89" t="s">
        <v>83</v>
      </c>
      <c r="B3350" s="89" t="s">
        <v>617</v>
      </c>
      <c r="C3350" s="89">
        <v>68500</v>
      </c>
      <c r="D3350" s="89" t="s">
        <v>664</v>
      </c>
    </row>
    <row r="3351" spans="1:4" x14ac:dyDescent="0.25">
      <c r="A3351" s="89" t="s">
        <v>83</v>
      </c>
      <c r="B3351" s="89" t="s">
        <v>617</v>
      </c>
      <c r="C3351" s="89">
        <v>15461147</v>
      </c>
      <c r="D3351" s="89" t="s">
        <v>665</v>
      </c>
    </row>
    <row r="3352" spans="1:4" x14ac:dyDescent="0.25">
      <c r="A3352" s="89" t="s">
        <v>83</v>
      </c>
      <c r="B3352" s="89" t="s">
        <v>617</v>
      </c>
      <c r="C3352" s="89">
        <v>1901097</v>
      </c>
      <c r="D3352" s="89" t="s">
        <v>663</v>
      </c>
    </row>
    <row r="3353" spans="1:4" x14ac:dyDescent="0.25">
      <c r="A3353" s="89" t="s">
        <v>83</v>
      </c>
      <c r="B3353" s="89" t="s">
        <v>617</v>
      </c>
      <c r="C3353" s="89">
        <v>16015250</v>
      </c>
      <c r="D3353" s="89" t="s">
        <v>664</v>
      </c>
    </row>
    <row r="3354" spans="1:4" x14ac:dyDescent="0.25">
      <c r="A3354" s="89" t="s">
        <v>83</v>
      </c>
      <c r="B3354" s="89" t="s">
        <v>617</v>
      </c>
      <c r="C3354" s="89">
        <v>17390761.420000002</v>
      </c>
      <c r="D3354" s="89" t="s">
        <v>663</v>
      </c>
    </row>
    <row r="3355" spans="1:4" x14ac:dyDescent="0.25">
      <c r="A3355" s="89" t="s">
        <v>83</v>
      </c>
      <c r="B3355" s="89" t="s">
        <v>617</v>
      </c>
      <c r="C3355" s="89">
        <v>1350000</v>
      </c>
      <c r="D3355" s="89" t="s">
        <v>663</v>
      </c>
    </row>
    <row r="3356" spans="1:4" x14ac:dyDescent="0.25">
      <c r="A3356" s="89" t="s">
        <v>165</v>
      </c>
      <c r="B3356" s="89" t="s">
        <v>615</v>
      </c>
      <c r="C3356" s="89">
        <v>1333367</v>
      </c>
      <c r="D3356" s="89" t="s">
        <v>663</v>
      </c>
    </row>
    <row r="3357" spans="1:4" x14ac:dyDescent="0.25">
      <c r="A3357" s="89" t="s">
        <v>37</v>
      </c>
      <c r="B3357" s="89" t="s">
        <v>615</v>
      </c>
      <c r="C3357" s="89">
        <v>63041.52</v>
      </c>
      <c r="D3357" s="89" t="s">
        <v>663</v>
      </c>
    </row>
    <row r="3358" spans="1:4" x14ac:dyDescent="0.25">
      <c r="A3358" s="89" t="s">
        <v>37</v>
      </c>
      <c r="B3358" s="89" t="s">
        <v>615</v>
      </c>
      <c r="C3358" s="89">
        <v>1091915.31</v>
      </c>
      <c r="D3358" s="89" t="s">
        <v>663</v>
      </c>
    </row>
    <row r="3359" spans="1:4" x14ac:dyDescent="0.25">
      <c r="A3359" s="89" t="s">
        <v>37</v>
      </c>
      <c r="B3359" s="89" t="s">
        <v>615</v>
      </c>
      <c r="C3359" s="89">
        <v>1258623</v>
      </c>
      <c r="D3359" s="89" t="s">
        <v>663</v>
      </c>
    </row>
    <row r="3360" spans="1:4" x14ac:dyDescent="0.25">
      <c r="A3360" s="89" t="s">
        <v>37</v>
      </c>
      <c r="B3360" s="89" t="s">
        <v>615</v>
      </c>
      <c r="C3360" s="89">
        <v>512229.73</v>
      </c>
      <c r="D3360" s="89" t="s">
        <v>663</v>
      </c>
    </row>
    <row r="3361" spans="1:4" x14ac:dyDescent="0.25">
      <c r="A3361" s="89" t="s">
        <v>82</v>
      </c>
      <c r="B3361" s="89" t="s">
        <v>617</v>
      </c>
      <c r="C3361" s="89">
        <v>579691</v>
      </c>
      <c r="D3361" s="89" t="s">
        <v>666</v>
      </c>
    </row>
    <row r="3362" spans="1:4" x14ac:dyDescent="0.25">
      <c r="A3362" s="89" t="s">
        <v>82</v>
      </c>
      <c r="B3362" s="89" t="s">
        <v>617</v>
      </c>
      <c r="C3362" s="89">
        <v>207425</v>
      </c>
      <c r="D3362" s="89" t="s">
        <v>666</v>
      </c>
    </row>
    <row r="3363" spans="1:4" x14ac:dyDescent="0.25">
      <c r="A3363" s="89" t="s">
        <v>82</v>
      </c>
      <c r="B3363" s="89" t="s">
        <v>617</v>
      </c>
      <c r="C3363" s="89">
        <v>427207.57</v>
      </c>
      <c r="D3363" s="89" t="s">
        <v>664</v>
      </c>
    </row>
    <row r="3364" spans="1:4" x14ac:dyDescent="0.25">
      <c r="A3364" s="89" t="s">
        <v>82</v>
      </c>
      <c r="B3364" s="89" t="s">
        <v>617</v>
      </c>
      <c r="C3364" s="89">
        <v>241288.43</v>
      </c>
      <c r="D3364" s="89" t="s">
        <v>664</v>
      </c>
    </row>
    <row r="3365" spans="1:4" x14ac:dyDescent="0.25">
      <c r="A3365" s="89" t="s">
        <v>82</v>
      </c>
      <c r="B3365" s="89" t="s">
        <v>617</v>
      </c>
      <c r="C3365" s="89">
        <v>129864</v>
      </c>
      <c r="D3365" s="89" t="s">
        <v>666</v>
      </c>
    </row>
    <row r="3366" spans="1:4" x14ac:dyDescent="0.25">
      <c r="A3366" s="89" t="s">
        <v>82</v>
      </c>
      <c r="B3366" s="89" t="s">
        <v>617</v>
      </c>
      <c r="C3366" s="89">
        <v>266500</v>
      </c>
      <c r="D3366" s="89" t="s">
        <v>664</v>
      </c>
    </row>
    <row r="3367" spans="1:4" x14ac:dyDescent="0.25">
      <c r="A3367" s="89" t="s">
        <v>82</v>
      </c>
      <c r="B3367" s="89" t="s">
        <v>617</v>
      </c>
      <c r="C3367" s="89">
        <v>2237068.61</v>
      </c>
      <c r="D3367" s="89" t="s">
        <v>663</v>
      </c>
    </row>
    <row r="3368" spans="1:4" x14ac:dyDescent="0.25">
      <c r="A3368" s="89" t="s">
        <v>82</v>
      </c>
      <c r="B3368" s="89" t="s">
        <v>617</v>
      </c>
      <c r="C3368" s="89">
        <v>678620</v>
      </c>
      <c r="D3368" s="89" t="s">
        <v>664</v>
      </c>
    </row>
    <row r="3369" spans="1:4" x14ac:dyDescent="0.25">
      <c r="A3369" s="89" t="s">
        <v>82</v>
      </c>
      <c r="B3369" s="89" t="s">
        <v>617</v>
      </c>
      <c r="C3369" s="89">
        <v>467216</v>
      </c>
      <c r="D3369" s="89" t="s">
        <v>664</v>
      </c>
    </row>
    <row r="3370" spans="1:4" x14ac:dyDescent="0.25">
      <c r="A3370" s="89" t="s">
        <v>82</v>
      </c>
      <c r="B3370" s="89" t="s">
        <v>617</v>
      </c>
      <c r="C3370" s="89">
        <v>3698772</v>
      </c>
      <c r="D3370" s="89" t="s">
        <v>663</v>
      </c>
    </row>
    <row r="3371" spans="1:4" x14ac:dyDescent="0.25">
      <c r="A3371" s="89" t="s">
        <v>82</v>
      </c>
      <c r="B3371" s="89" t="s">
        <v>617</v>
      </c>
      <c r="C3371" s="89">
        <v>214821</v>
      </c>
      <c r="D3371" s="89" t="s">
        <v>666</v>
      </c>
    </row>
    <row r="3372" spans="1:4" x14ac:dyDescent="0.25">
      <c r="A3372" s="89" t="s">
        <v>82</v>
      </c>
      <c r="B3372" s="89" t="s">
        <v>617</v>
      </c>
      <c r="C3372" s="89">
        <v>223354</v>
      </c>
      <c r="D3372" s="89" t="s">
        <v>666</v>
      </c>
    </row>
    <row r="3373" spans="1:4" x14ac:dyDescent="0.25">
      <c r="A3373" s="89" t="s">
        <v>82</v>
      </c>
      <c r="B3373" s="89" t="s">
        <v>617</v>
      </c>
      <c r="C3373" s="89">
        <v>311510</v>
      </c>
      <c r="D3373" s="89" t="s">
        <v>666</v>
      </c>
    </row>
    <row r="3374" spans="1:4" x14ac:dyDescent="0.25">
      <c r="A3374" s="89" t="s">
        <v>82</v>
      </c>
      <c r="B3374" s="89" t="s">
        <v>617</v>
      </c>
      <c r="C3374" s="89">
        <v>2552319</v>
      </c>
      <c r="D3374" s="89" t="s">
        <v>663</v>
      </c>
    </row>
    <row r="3375" spans="1:4" x14ac:dyDescent="0.25">
      <c r="A3375" s="89" t="s">
        <v>82</v>
      </c>
      <c r="B3375" s="89" t="s">
        <v>617</v>
      </c>
      <c r="C3375" s="89">
        <v>558871.28</v>
      </c>
      <c r="D3375" s="89" t="s">
        <v>666</v>
      </c>
    </row>
    <row r="3376" spans="1:4" x14ac:dyDescent="0.25">
      <c r="A3376" s="89" t="s">
        <v>82</v>
      </c>
      <c r="B3376" s="89" t="s">
        <v>617</v>
      </c>
      <c r="C3376" s="89">
        <v>144861</v>
      </c>
      <c r="D3376" s="89" t="s">
        <v>666</v>
      </c>
    </row>
    <row r="3377" spans="1:4" x14ac:dyDescent="0.25">
      <c r="A3377" s="89" t="s">
        <v>82</v>
      </c>
      <c r="B3377" s="89" t="s">
        <v>617</v>
      </c>
      <c r="C3377" s="89">
        <v>627983</v>
      </c>
      <c r="D3377" s="89" t="s">
        <v>666</v>
      </c>
    </row>
    <row r="3378" spans="1:4" x14ac:dyDescent="0.25">
      <c r="A3378" s="89" t="s">
        <v>82</v>
      </c>
      <c r="B3378" s="89" t="s">
        <v>617</v>
      </c>
      <c r="C3378" s="89">
        <v>1162302</v>
      </c>
      <c r="D3378" s="89" t="s">
        <v>664</v>
      </c>
    </row>
    <row r="3379" spans="1:4" x14ac:dyDescent="0.25">
      <c r="A3379" s="89" t="s">
        <v>82</v>
      </c>
      <c r="B3379" s="89" t="s">
        <v>617</v>
      </c>
      <c r="C3379" s="89">
        <v>2834833</v>
      </c>
      <c r="D3379" s="89" t="s">
        <v>664</v>
      </c>
    </row>
    <row r="3380" spans="1:4" x14ac:dyDescent="0.25">
      <c r="A3380" s="89" t="s">
        <v>82</v>
      </c>
      <c r="B3380" s="89" t="s">
        <v>617</v>
      </c>
      <c r="C3380" s="89">
        <v>4378330.49</v>
      </c>
      <c r="D3380" s="89" t="s">
        <v>663</v>
      </c>
    </row>
    <row r="3381" spans="1:4" x14ac:dyDescent="0.25">
      <c r="A3381" s="89" t="s">
        <v>82</v>
      </c>
      <c r="B3381" s="89" t="s">
        <v>617</v>
      </c>
      <c r="C3381" s="89">
        <v>4305234.13</v>
      </c>
      <c r="D3381" s="89" t="s">
        <v>663</v>
      </c>
    </row>
    <row r="3382" spans="1:4" x14ac:dyDescent="0.25">
      <c r="A3382" s="89" t="s">
        <v>82</v>
      </c>
      <c r="B3382" s="89" t="s">
        <v>617</v>
      </c>
      <c r="C3382" s="89">
        <v>211064</v>
      </c>
      <c r="D3382" s="89" t="s">
        <v>664</v>
      </c>
    </row>
    <row r="3383" spans="1:4" x14ac:dyDescent="0.25">
      <c r="A3383" s="89" t="s">
        <v>82</v>
      </c>
      <c r="B3383" s="89" t="s">
        <v>617</v>
      </c>
      <c r="C3383" s="89">
        <v>2473037</v>
      </c>
      <c r="D3383" s="89" t="s">
        <v>664</v>
      </c>
    </row>
    <row r="3384" spans="1:4" x14ac:dyDescent="0.25">
      <c r="A3384" s="89" t="s">
        <v>82</v>
      </c>
      <c r="B3384" s="89" t="s">
        <v>617</v>
      </c>
      <c r="C3384" s="89">
        <v>1435227</v>
      </c>
      <c r="D3384" s="89" t="s">
        <v>664</v>
      </c>
    </row>
    <row r="3385" spans="1:4" x14ac:dyDescent="0.25">
      <c r="A3385" s="89" t="s">
        <v>82</v>
      </c>
      <c r="B3385" s="89" t="s">
        <v>617</v>
      </c>
      <c r="C3385" s="89">
        <v>1262772</v>
      </c>
      <c r="D3385" s="89" t="s">
        <v>666</v>
      </c>
    </row>
    <row r="3386" spans="1:4" x14ac:dyDescent="0.25">
      <c r="A3386" s="89" t="s">
        <v>82</v>
      </c>
      <c r="B3386" s="89" t="s">
        <v>617</v>
      </c>
      <c r="C3386" s="89">
        <v>-41540.01</v>
      </c>
      <c r="D3386" s="89" t="s">
        <v>664</v>
      </c>
    </row>
    <row r="3387" spans="1:4" x14ac:dyDescent="0.25">
      <c r="A3387" s="89" t="s">
        <v>82</v>
      </c>
      <c r="B3387" s="89" t="s">
        <v>617</v>
      </c>
      <c r="C3387" s="89">
        <v>-73315.460000000006</v>
      </c>
      <c r="D3387" s="89" t="s">
        <v>666</v>
      </c>
    </row>
    <row r="3388" spans="1:4" x14ac:dyDescent="0.25">
      <c r="A3388" s="89" t="s">
        <v>82</v>
      </c>
      <c r="B3388" s="89" t="s">
        <v>617</v>
      </c>
      <c r="C3388" s="89">
        <v>847256</v>
      </c>
      <c r="D3388" s="89" t="s">
        <v>663</v>
      </c>
    </row>
    <row r="3389" spans="1:4" x14ac:dyDescent="0.25">
      <c r="A3389" s="89" t="s">
        <v>82</v>
      </c>
      <c r="B3389" s="89" t="s">
        <v>617</v>
      </c>
      <c r="C3389" s="89">
        <v>535659</v>
      </c>
      <c r="D3389" s="89" t="s">
        <v>666</v>
      </c>
    </row>
    <row r="3390" spans="1:4" x14ac:dyDescent="0.25">
      <c r="A3390" s="89" t="s">
        <v>82</v>
      </c>
      <c r="B3390" s="89" t="s">
        <v>617</v>
      </c>
      <c r="C3390" s="89">
        <v>4790739</v>
      </c>
      <c r="D3390" s="89" t="s">
        <v>663</v>
      </c>
    </row>
    <row r="3391" spans="1:4" x14ac:dyDescent="0.25">
      <c r="A3391" s="89" t="s">
        <v>82</v>
      </c>
      <c r="B3391" s="89" t="s">
        <v>617</v>
      </c>
      <c r="C3391" s="89">
        <v>279505</v>
      </c>
      <c r="D3391" s="89" t="s">
        <v>664</v>
      </c>
    </row>
    <row r="3392" spans="1:4" x14ac:dyDescent="0.25">
      <c r="A3392" s="89" t="s">
        <v>82</v>
      </c>
      <c r="B3392" s="89" t="s">
        <v>617</v>
      </c>
      <c r="C3392" s="89">
        <v>134332</v>
      </c>
      <c r="D3392" s="89" t="s">
        <v>664</v>
      </c>
    </row>
    <row r="3393" spans="1:4" x14ac:dyDescent="0.25">
      <c r="A3393" s="89" t="s">
        <v>82</v>
      </c>
      <c r="B3393" s="89" t="s">
        <v>617</v>
      </c>
      <c r="C3393" s="89">
        <v>235042</v>
      </c>
      <c r="D3393" s="89" t="s">
        <v>666</v>
      </c>
    </row>
    <row r="3394" spans="1:4" x14ac:dyDescent="0.25">
      <c r="A3394" s="89" t="s">
        <v>82</v>
      </c>
      <c r="B3394" s="89" t="s">
        <v>617</v>
      </c>
      <c r="C3394" s="89">
        <v>3573294</v>
      </c>
      <c r="D3394" s="89" t="s">
        <v>663</v>
      </c>
    </row>
    <row r="3395" spans="1:4" x14ac:dyDescent="0.25">
      <c r="A3395" s="89" t="s">
        <v>82</v>
      </c>
      <c r="B3395" s="89" t="s">
        <v>617</v>
      </c>
      <c r="C3395" s="89">
        <v>2082988</v>
      </c>
      <c r="D3395" s="89" t="s">
        <v>663</v>
      </c>
    </row>
    <row r="3396" spans="1:4" x14ac:dyDescent="0.25">
      <c r="A3396" s="89" t="s">
        <v>82</v>
      </c>
      <c r="B3396" s="89" t="s">
        <v>617</v>
      </c>
      <c r="C3396" s="89">
        <v>235905</v>
      </c>
      <c r="D3396" s="89" t="s">
        <v>664</v>
      </c>
    </row>
    <row r="3397" spans="1:4" x14ac:dyDescent="0.25">
      <c r="A3397" s="89" t="s">
        <v>82</v>
      </c>
      <c r="B3397" s="89" t="s">
        <v>617</v>
      </c>
      <c r="C3397" s="89">
        <v>460098</v>
      </c>
      <c r="D3397" s="89" t="s">
        <v>666</v>
      </c>
    </row>
    <row r="3398" spans="1:4" x14ac:dyDescent="0.25">
      <c r="A3398" s="89" t="s">
        <v>82</v>
      </c>
      <c r="B3398" s="89" t="s">
        <v>617</v>
      </c>
      <c r="C3398" s="89">
        <v>-189042.03</v>
      </c>
      <c r="D3398" s="89" t="s">
        <v>666</v>
      </c>
    </row>
    <row r="3399" spans="1:4" x14ac:dyDescent="0.25">
      <c r="A3399" s="89" t="s">
        <v>82</v>
      </c>
      <c r="B3399" s="89" t="s">
        <v>617</v>
      </c>
      <c r="C3399" s="89">
        <v>2502014</v>
      </c>
      <c r="D3399" s="89" t="s">
        <v>663</v>
      </c>
    </row>
    <row r="3400" spans="1:4" x14ac:dyDescent="0.25">
      <c r="A3400" s="89" t="s">
        <v>82</v>
      </c>
      <c r="B3400" s="89" t="s">
        <v>617</v>
      </c>
      <c r="C3400" s="89">
        <v>97647</v>
      </c>
      <c r="D3400" s="89" t="s">
        <v>664</v>
      </c>
    </row>
    <row r="3401" spans="1:4" x14ac:dyDescent="0.25">
      <c r="A3401" s="89" t="s">
        <v>82</v>
      </c>
      <c r="B3401" s="89" t="s">
        <v>617</v>
      </c>
      <c r="C3401" s="89">
        <v>2382209</v>
      </c>
      <c r="D3401" s="89" t="s">
        <v>663</v>
      </c>
    </row>
    <row r="3402" spans="1:4" x14ac:dyDescent="0.25">
      <c r="A3402" s="89" t="s">
        <v>82</v>
      </c>
      <c r="B3402" s="89" t="s">
        <v>617</v>
      </c>
      <c r="C3402" s="89">
        <v>2394860.9</v>
      </c>
      <c r="D3402" s="89" t="s">
        <v>666</v>
      </c>
    </row>
    <row r="3403" spans="1:4" x14ac:dyDescent="0.25">
      <c r="A3403" s="89" t="s">
        <v>82</v>
      </c>
      <c r="B3403" s="89" t="s">
        <v>617</v>
      </c>
      <c r="C3403" s="89">
        <v>11024683</v>
      </c>
      <c r="D3403" s="89" t="s">
        <v>663</v>
      </c>
    </row>
    <row r="3404" spans="1:4" x14ac:dyDescent="0.25">
      <c r="A3404" s="89" t="s">
        <v>82</v>
      </c>
      <c r="B3404" s="89" t="s">
        <v>617</v>
      </c>
      <c r="C3404" s="89">
        <v>2639918</v>
      </c>
      <c r="D3404" s="89" t="s">
        <v>663</v>
      </c>
    </row>
    <row r="3405" spans="1:4" x14ac:dyDescent="0.25">
      <c r="A3405" s="89" t="s">
        <v>82</v>
      </c>
      <c r="B3405" s="89" t="s">
        <v>617</v>
      </c>
      <c r="C3405" s="89">
        <v>2869077</v>
      </c>
      <c r="D3405" s="89" t="s">
        <v>663</v>
      </c>
    </row>
    <row r="3406" spans="1:4" x14ac:dyDescent="0.25">
      <c r="A3406" s="89" t="s">
        <v>82</v>
      </c>
      <c r="B3406" s="89" t="s">
        <v>617</v>
      </c>
      <c r="C3406" s="89">
        <v>2120682.52</v>
      </c>
      <c r="D3406" s="89" t="s">
        <v>663</v>
      </c>
    </row>
    <row r="3407" spans="1:4" x14ac:dyDescent="0.25">
      <c r="A3407" s="89" t="s">
        <v>82</v>
      </c>
      <c r="B3407" s="89" t="s">
        <v>617</v>
      </c>
      <c r="C3407" s="89">
        <v>3988314</v>
      </c>
      <c r="D3407" s="89" t="s">
        <v>663</v>
      </c>
    </row>
    <row r="3408" spans="1:4" x14ac:dyDescent="0.25">
      <c r="A3408" s="89" t="s">
        <v>82</v>
      </c>
      <c r="B3408" s="89" t="s">
        <v>617</v>
      </c>
      <c r="C3408" s="89">
        <v>973084</v>
      </c>
      <c r="D3408" s="89" t="s">
        <v>664</v>
      </c>
    </row>
    <row r="3409" spans="1:4" x14ac:dyDescent="0.25">
      <c r="A3409" s="89" t="s">
        <v>82</v>
      </c>
      <c r="B3409" s="89" t="s">
        <v>617</v>
      </c>
      <c r="C3409" s="89">
        <v>10429967</v>
      </c>
      <c r="D3409" s="89" t="s">
        <v>663</v>
      </c>
    </row>
    <row r="3410" spans="1:4" x14ac:dyDescent="0.25">
      <c r="A3410" s="89" t="s">
        <v>82</v>
      </c>
      <c r="B3410" s="89" t="s">
        <v>617</v>
      </c>
      <c r="C3410" s="89">
        <v>329262</v>
      </c>
      <c r="D3410" s="89" t="s">
        <v>666</v>
      </c>
    </row>
    <row r="3411" spans="1:4" x14ac:dyDescent="0.25">
      <c r="A3411" s="89" t="s">
        <v>82</v>
      </c>
      <c r="B3411" s="89" t="s">
        <v>617</v>
      </c>
      <c r="C3411" s="89">
        <v>3399307</v>
      </c>
      <c r="D3411" s="89" t="s">
        <v>664</v>
      </c>
    </row>
    <row r="3412" spans="1:4" x14ac:dyDescent="0.25">
      <c r="A3412" s="89" t="s">
        <v>81</v>
      </c>
      <c r="B3412" s="89" t="s">
        <v>617</v>
      </c>
      <c r="C3412" s="89">
        <v>207669</v>
      </c>
      <c r="D3412" s="89" t="s">
        <v>666</v>
      </c>
    </row>
    <row r="3413" spans="1:4" x14ac:dyDescent="0.25">
      <c r="A3413" s="89" t="s">
        <v>81</v>
      </c>
      <c r="B3413" s="89" t="s">
        <v>617</v>
      </c>
      <c r="C3413" s="89">
        <v>237772</v>
      </c>
      <c r="D3413" s="89" t="s">
        <v>666</v>
      </c>
    </row>
    <row r="3414" spans="1:4" x14ac:dyDescent="0.25">
      <c r="A3414" s="89" t="s">
        <v>81</v>
      </c>
      <c r="B3414" s="89" t="s">
        <v>617</v>
      </c>
      <c r="C3414" s="89">
        <v>143045</v>
      </c>
      <c r="D3414" s="89" t="s">
        <v>664</v>
      </c>
    </row>
    <row r="3415" spans="1:4" x14ac:dyDescent="0.25">
      <c r="A3415" s="89" t="s">
        <v>81</v>
      </c>
      <c r="B3415" s="89" t="s">
        <v>617</v>
      </c>
      <c r="C3415" s="89">
        <v>236934</v>
      </c>
      <c r="D3415" s="89" t="s">
        <v>666</v>
      </c>
    </row>
    <row r="3416" spans="1:4" x14ac:dyDescent="0.25">
      <c r="A3416" s="89" t="s">
        <v>81</v>
      </c>
      <c r="B3416" s="89" t="s">
        <v>617</v>
      </c>
      <c r="C3416" s="89">
        <v>290000</v>
      </c>
      <c r="D3416" s="89" t="s">
        <v>664</v>
      </c>
    </row>
    <row r="3417" spans="1:4" x14ac:dyDescent="0.25">
      <c r="A3417" s="89" t="s">
        <v>81</v>
      </c>
      <c r="B3417" s="89" t="s">
        <v>617</v>
      </c>
      <c r="C3417" s="89">
        <v>92167</v>
      </c>
      <c r="D3417" s="89" t="s">
        <v>664</v>
      </c>
    </row>
    <row r="3418" spans="1:4" x14ac:dyDescent="0.25">
      <c r="A3418" s="89" t="s">
        <v>81</v>
      </c>
      <c r="B3418" s="89" t="s">
        <v>617</v>
      </c>
      <c r="C3418" s="89">
        <v>132455</v>
      </c>
      <c r="D3418" s="89" t="s">
        <v>666</v>
      </c>
    </row>
    <row r="3419" spans="1:4" x14ac:dyDescent="0.25">
      <c r="A3419" s="89" t="s">
        <v>81</v>
      </c>
      <c r="B3419" s="89" t="s">
        <v>617</v>
      </c>
      <c r="C3419" s="89">
        <v>1636934</v>
      </c>
      <c r="D3419" s="89" t="s">
        <v>663</v>
      </c>
    </row>
    <row r="3420" spans="1:4" x14ac:dyDescent="0.25">
      <c r="A3420" s="89" t="s">
        <v>81</v>
      </c>
      <c r="B3420" s="89" t="s">
        <v>617</v>
      </c>
      <c r="C3420" s="89">
        <v>497117</v>
      </c>
      <c r="D3420" s="89" t="s">
        <v>666</v>
      </c>
    </row>
    <row r="3421" spans="1:4" x14ac:dyDescent="0.25">
      <c r="A3421" s="89" t="s">
        <v>81</v>
      </c>
      <c r="B3421" s="89" t="s">
        <v>617</v>
      </c>
      <c r="C3421" s="89">
        <v>457060.23</v>
      </c>
      <c r="D3421" s="89" t="s">
        <v>664</v>
      </c>
    </row>
    <row r="3422" spans="1:4" x14ac:dyDescent="0.25">
      <c r="A3422" s="89" t="s">
        <v>81</v>
      </c>
      <c r="B3422" s="89" t="s">
        <v>617</v>
      </c>
      <c r="C3422" s="89">
        <v>109853</v>
      </c>
      <c r="D3422" s="89" t="s">
        <v>666</v>
      </c>
    </row>
    <row r="3423" spans="1:4" x14ac:dyDescent="0.25">
      <c r="A3423" s="89" t="s">
        <v>81</v>
      </c>
      <c r="B3423" s="89" t="s">
        <v>617</v>
      </c>
      <c r="C3423" s="89">
        <v>108084.67</v>
      </c>
      <c r="D3423" s="89" t="s">
        <v>664</v>
      </c>
    </row>
    <row r="3424" spans="1:4" x14ac:dyDescent="0.25">
      <c r="A3424" s="89" t="s">
        <v>81</v>
      </c>
      <c r="B3424" s="89" t="s">
        <v>617</v>
      </c>
      <c r="C3424" s="89">
        <v>3200000</v>
      </c>
      <c r="D3424" s="89" t="s">
        <v>663</v>
      </c>
    </row>
    <row r="3425" spans="1:4" x14ac:dyDescent="0.25">
      <c r="A3425" s="89" t="s">
        <v>81</v>
      </c>
      <c r="B3425" s="89" t="s">
        <v>617</v>
      </c>
      <c r="C3425" s="89">
        <v>578971</v>
      </c>
      <c r="D3425" s="89" t="s">
        <v>666</v>
      </c>
    </row>
    <row r="3426" spans="1:4" x14ac:dyDescent="0.25">
      <c r="A3426" s="89" t="s">
        <v>81</v>
      </c>
      <c r="B3426" s="89" t="s">
        <v>617</v>
      </c>
      <c r="C3426" s="89">
        <v>340433</v>
      </c>
      <c r="D3426" s="89" t="s">
        <v>663</v>
      </c>
    </row>
    <row r="3427" spans="1:4" x14ac:dyDescent="0.25">
      <c r="A3427" s="89" t="s">
        <v>81</v>
      </c>
      <c r="B3427" s="89" t="s">
        <v>617</v>
      </c>
      <c r="C3427" s="89">
        <v>878780.01</v>
      </c>
      <c r="D3427" s="89" t="s">
        <v>666</v>
      </c>
    </row>
    <row r="3428" spans="1:4" x14ac:dyDescent="0.25">
      <c r="A3428" s="89" t="s">
        <v>81</v>
      </c>
      <c r="B3428" s="89" t="s">
        <v>617</v>
      </c>
      <c r="C3428" s="89">
        <v>541854</v>
      </c>
      <c r="D3428" s="89" t="s">
        <v>664</v>
      </c>
    </row>
    <row r="3429" spans="1:4" x14ac:dyDescent="0.25">
      <c r="A3429" s="89" t="s">
        <v>81</v>
      </c>
      <c r="B3429" s="89" t="s">
        <v>617</v>
      </c>
      <c r="C3429" s="89">
        <v>1348000.16</v>
      </c>
      <c r="D3429" s="89" t="s">
        <v>663</v>
      </c>
    </row>
    <row r="3430" spans="1:4" x14ac:dyDescent="0.25">
      <c r="A3430" s="89" t="s">
        <v>81</v>
      </c>
      <c r="B3430" s="89" t="s">
        <v>617</v>
      </c>
      <c r="C3430" s="89">
        <v>661972.41</v>
      </c>
      <c r="D3430" s="89" t="s">
        <v>664</v>
      </c>
    </row>
    <row r="3431" spans="1:4" x14ac:dyDescent="0.25">
      <c r="A3431" s="89" t="s">
        <v>81</v>
      </c>
      <c r="B3431" s="89" t="s">
        <v>617</v>
      </c>
      <c r="C3431" s="89">
        <v>-1679358.9</v>
      </c>
      <c r="D3431" s="89" t="s">
        <v>663</v>
      </c>
    </row>
    <row r="3432" spans="1:4" x14ac:dyDescent="0.25">
      <c r="A3432" s="89" t="s">
        <v>81</v>
      </c>
      <c r="B3432" s="89" t="s">
        <v>617</v>
      </c>
      <c r="C3432" s="89">
        <v>41849.19</v>
      </c>
      <c r="D3432" s="89" t="s">
        <v>663</v>
      </c>
    </row>
    <row r="3433" spans="1:4" x14ac:dyDescent="0.25">
      <c r="A3433" s="89" t="s">
        <v>81</v>
      </c>
      <c r="B3433" s="89" t="s">
        <v>617</v>
      </c>
      <c r="C3433" s="89">
        <v>248254</v>
      </c>
      <c r="D3433" s="89" t="s">
        <v>664</v>
      </c>
    </row>
    <row r="3434" spans="1:4" x14ac:dyDescent="0.25">
      <c r="A3434" s="89" t="s">
        <v>81</v>
      </c>
      <c r="B3434" s="89" t="s">
        <v>617</v>
      </c>
      <c r="C3434" s="89">
        <v>50578</v>
      </c>
      <c r="D3434" s="89" t="s">
        <v>664</v>
      </c>
    </row>
    <row r="3435" spans="1:4" x14ac:dyDescent="0.25">
      <c r="A3435" s="89" t="s">
        <v>81</v>
      </c>
      <c r="B3435" s="89" t="s">
        <v>617</v>
      </c>
      <c r="C3435" s="89">
        <v>289912</v>
      </c>
      <c r="D3435" s="89" t="s">
        <v>666</v>
      </c>
    </row>
    <row r="3436" spans="1:4" x14ac:dyDescent="0.25">
      <c r="A3436" s="89" t="s">
        <v>81</v>
      </c>
      <c r="B3436" s="89" t="s">
        <v>617</v>
      </c>
      <c r="C3436" s="89">
        <v>268325.71000000002</v>
      </c>
      <c r="D3436" s="89" t="s">
        <v>666</v>
      </c>
    </row>
    <row r="3437" spans="1:4" x14ac:dyDescent="0.25">
      <c r="A3437" s="89" t="s">
        <v>81</v>
      </c>
      <c r="B3437" s="89" t="s">
        <v>617</v>
      </c>
      <c r="C3437" s="89">
        <v>1238295</v>
      </c>
      <c r="D3437" s="89" t="s">
        <v>664</v>
      </c>
    </row>
    <row r="3438" spans="1:4" x14ac:dyDescent="0.25">
      <c r="A3438" s="89" t="s">
        <v>81</v>
      </c>
      <c r="B3438" s="89" t="s">
        <v>617</v>
      </c>
      <c r="C3438" s="89">
        <v>2145577</v>
      </c>
      <c r="D3438" s="89" t="s">
        <v>666</v>
      </c>
    </row>
    <row r="3439" spans="1:4" x14ac:dyDescent="0.25">
      <c r="A3439" s="89" t="s">
        <v>81</v>
      </c>
      <c r="B3439" s="89" t="s">
        <v>617</v>
      </c>
      <c r="C3439" s="89">
        <v>680054.36</v>
      </c>
      <c r="D3439" s="89" t="s">
        <v>664</v>
      </c>
    </row>
    <row r="3440" spans="1:4" x14ac:dyDescent="0.25">
      <c r="A3440" s="89" t="s">
        <v>81</v>
      </c>
      <c r="B3440" s="89" t="s">
        <v>617</v>
      </c>
      <c r="C3440" s="89">
        <v>426187.66</v>
      </c>
      <c r="D3440" s="89" t="s">
        <v>666</v>
      </c>
    </row>
    <row r="3441" spans="1:4" x14ac:dyDescent="0.25">
      <c r="A3441" s="89" t="s">
        <v>81</v>
      </c>
      <c r="B3441" s="89" t="s">
        <v>617</v>
      </c>
      <c r="C3441" s="89">
        <v>-1685688.05</v>
      </c>
      <c r="D3441" s="89" t="s">
        <v>663</v>
      </c>
    </row>
    <row r="3442" spans="1:4" x14ac:dyDescent="0.25">
      <c r="A3442" s="89" t="s">
        <v>81</v>
      </c>
      <c r="B3442" s="89" t="s">
        <v>617</v>
      </c>
      <c r="C3442" s="89">
        <v>304446</v>
      </c>
      <c r="D3442" s="89" t="s">
        <v>663</v>
      </c>
    </row>
    <row r="3443" spans="1:4" x14ac:dyDescent="0.25">
      <c r="A3443" s="89" t="s">
        <v>81</v>
      </c>
      <c r="B3443" s="89" t="s">
        <v>617</v>
      </c>
      <c r="C3443" s="89">
        <v>500223</v>
      </c>
      <c r="D3443" s="89" t="s">
        <v>664</v>
      </c>
    </row>
    <row r="3444" spans="1:4" x14ac:dyDescent="0.25">
      <c r="A3444" s="89" t="s">
        <v>163</v>
      </c>
      <c r="B3444" s="89" t="s">
        <v>615</v>
      </c>
      <c r="C3444" s="89">
        <v>476460.11</v>
      </c>
      <c r="D3444" s="89" t="s">
        <v>663</v>
      </c>
    </row>
    <row r="3445" spans="1:4" x14ac:dyDescent="0.25">
      <c r="A3445" s="89" t="s">
        <v>163</v>
      </c>
      <c r="B3445" s="89" t="s">
        <v>615</v>
      </c>
      <c r="C3445" s="89">
        <v>714933.99</v>
      </c>
      <c r="D3445" s="89" t="s">
        <v>663</v>
      </c>
    </row>
    <row r="3446" spans="1:4" x14ac:dyDescent="0.25">
      <c r="A3446" s="89" t="s">
        <v>163</v>
      </c>
      <c r="B3446" s="89" t="s">
        <v>615</v>
      </c>
      <c r="C3446" s="89">
        <v>823475.16</v>
      </c>
      <c r="D3446" s="89" t="s">
        <v>663</v>
      </c>
    </row>
    <row r="3447" spans="1:4" x14ac:dyDescent="0.25">
      <c r="A3447" s="89" t="s">
        <v>163</v>
      </c>
      <c r="B3447" s="89" t="s">
        <v>615</v>
      </c>
      <c r="C3447" s="89">
        <v>404836.65</v>
      </c>
      <c r="D3447" s="89" t="s">
        <v>663</v>
      </c>
    </row>
    <row r="3448" spans="1:4" x14ac:dyDescent="0.25">
      <c r="A3448" s="89" t="s">
        <v>163</v>
      </c>
      <c r="B3448" s="89" t="s">
        <v>615</v>
      </c>
      <c r="C3448" s="89">
        <v>462929.67</v>
      </c>
      <c r="D3448" s="89" t="s">
        <v>663</v>
      </c>
    </row>
    <row r="3449" spans="1:4" x14ac:dyDescent="0.25">
      <c r="A3449" s="89" t="s">
        <v>163</v>
      </c>
      <c r="B3449" s="89" t="s">
        <v>615</v>
      </c>
      <c r="C3449" s="89">
        <v>870367.39</v>
      </c>
      <c r="D3449" s="89" t="s">
        <v>663</v>
      </c>
    </row>
    <row r="3450" spans="1:4" x14ac:dyDescent="0.25">
      <c r="A3450" s="89" t="s">
        <v>163</v>
      </c>
      <c r="B3450" s="89" t="s">
        <v>615</v>
      </c>
      <c r="C3450" s="89">
        <v>305394.69</v>
      </c>
      <c r="D3450" s="89" t="s">
        <v>663</v>
      </c>
    </row>
    <row r="3451" spans="1:4" x14ac:dyDescent="0.25">
      <c r="A3451" s="89" t="s">
        <v>162</v>
      </c>
      <c r="B3451" s="89" t="s">
        <v>615</v>
      </c>
      <c r="C3451" s="89">
        <v>3387683</v>
      </c>
      <c r="D3451" s="89" t="s">
        <v>663</v>
      </c>
    </row>
    <row r="3452" spans="1:4" x14ac:dyDescent="0.25">
      <c r="A3452" s="89" t="s">
        <v>162</v>
      </c>
      <c r="B3452" s="89" t="s">
        <v>615</v>
      </c>
      <c r="C3452" s="89">
        <v>5678223</v>
      </c>
      <c r="D3452" s="89" t="s">
        <v>663</v>
      </c>
    </row>
    <row r="3453" spans="1:4" x14ac:dyDescent="0.25">
      <c r="A3453" s="89" t="s">
        <v>162</v>
      </c>
      <c r="B3453" s="89" t="s">
        <v>615</v>
      </c>
      <c r="C3453" s="89">
        <v>1183557</v>
      </c>
      <c r="D3453" s="89" t="s">
        <v>663</v>
      </c>
    </row>
    <row r="3454" spans="1:4" x14ac:dyDescent="0.25">
      <c r="A3454" s="89" t="s">
        <v>34</v>
      </c>
      <c r="B3454" s="89" t="s">
        <v>616</v>
      </c>
      <c r="C3454" s="89">
        <v>500000</v>
      </c>
      <c r="D3454" s="89" t="s">
        <v>670</v>
      </c>
    </row>
    <row r="3455" spans="1:4" x14ac:dyDescent="0.25">
      <c r="A3455" s="89" t="s">
        <v>34</v>
      </c>
      <c r="B3455" s="89" t="s">
        <v>616</v>
      </c>
      <c r="C3455" s="89">
        <v>500000</v>
      </c>
      <c r="D3455" s="89" t="s">
        <v>670</v>
      </c>
    </row>
    <row r="3456" spans="1:4" x14ac:dyDescent="0.25">
      <c r="A3456" s="89" t="s">
        <v>34</v>
      </c>
      <c r="B3456" s="89" t="s">
        <v>616</v>
      </c>
      <c r="C3456" s="89">
        <v>766864</v>
      </c>
      <c r="D3456" s="89" t="s">
        <v>670</v>
      </c>
    </row>
    <row r="3457" spans="1:4" x14ac:dyDescent="0.25">
      <c r="A3457" s="89" t="s">
        <v>34</v>
      </c>
      <c r="B3457" s="89" t="s">
        <v>616</v>
      </c>
      <c r="C3457" s="89">
        <v>1800000</v>
      </c>
      <c r="D3457" s="89" t="s">
        <v>670</v>
      </c>
    </row>
    <row r="3458" spans="1:4" x14ac:dyDescent="0.25">
      <c r="A3458" s="89" t="s">
        <v>34</v>
      </c>
      <c r="B3458" s="89" t="s">
        <v>616</v>
      </c>
      <c r="C3458" s="89">
        <v>1100000</v>
      </c>
      <c r="D3458" s="89" t="s">
        <v>670</v>
      </c>
    </row>
    <row r="3459" spans="1:4" x14ac:dyDescent="0.25">
      <c r="A3459" s="89" t="s">
        <v>34</v>
      </c>
      <c r="B3459" s="89" t="s">
        <v>616</v>
      </c>
      <c r="C3459" s="89">
        <v>231080</v>
      </c>
      <c r="D3459" s="89" t="s">
        <v>670</v>
      </c>
    </row>
    <row r="3460" spans="1:4" x14ac:dyDescent="0.25">
      <c r="A3460" s="89" t="s">
        <v>34</v>
      </c>
      <c r="B3460" s="89" t="s">
        <v>616</v>
      </c>
      <c r="C3460" s="89">
        <v>250000</v>
      </c>
      <c r="D3460" s="89" t="s">
        <v>670</v>
      </c>
    </row>
    <row r="3461" spans="1:4" x14ac:dyDescent="0.25">
      <c r="A3461" s="89" t="s">
        <v>34</v>
      </c>
      <c r="B3461" s="89" t="s">
        <v>616</v>
      </c>
      <c r="C3461" s="89">
        <v>250000</v>
      </c>
      <c r="D3461" s="89" t="s">
        <v>670</v>
      </c>
    </row>
    <row r="3462" spans="1:4" x14ac:dyDescent="0.25">
      <c r="A3462" s="89" t="s">
        <v>34</v>
      </c>
      <c r="B3462" s="89" t="s">
        <v>616</v>
      </c>
      <c r="C3462" s="89">
        <v>700000</v>
      </c>
      <c r="D3462" s="89" t="s">
        <v>670</v>
      </c>
    </row>
    <row r="3463" spans="1:4" x14ac:dyDescent="0.25">
      <c r="A3463" s="89" t="s">
        <v>34</v>
      </c>
      <c r="B3463" s="89" t="s">
        <v>616</v>
      </c>
      <c r="C3463" s="89">
        <v>2587650.59</v>
      </c>
      <c r="D3463" s="89" t="s">
        <v>666</v>
      </c>
    </row>
    <row r="3464" spans="1:4" x14ac:dyDescent="0.25">
      <c r="A3464" s="89" t="s">
        <v>34</v>
      </c>
      <c r="B3464" s="89" t="s">
        <v>616</v>
      </c>
      <c r="C3464" s="89">
        <v>486962.7</v>
      </c>
      <c r="D3464" s="89" t="s">
        <v>666</v>
      </c>
    </row>
    <row r="3465" spans="1:4" x14ac:dyDescent="0.25">
      <c r="A3465" s="89" t="s">
        <v>34</v>
      </c>
      <c r="B3465" s="89" t="s">
        <v>616</v>
      </c>
      <c r="C3465" s="89">
        <v>-3397.6</v>
      </c>
      <c r="D3465" s="89" t="s">
        <v>670</v>
      </c>
    </row>
    <row r="3466" spans="1:4" x14ac:dyDescent="0.25">
      <c r="A3466" s="89" t="s">
        <v>34</v>
      </c>
      <c r="B3466" s="89" t="s">
        <v>616</v>
      </c>
      <c r="C3466" s="89">
        <v>323200</v>
      </c>
      <c r="D3466" s="89" t="s">
        <v>663</v>
      </c>
    </row>
    <row r="3467" spans="1:4" x14ac:dyDescent="0.25">
      <c r="A3467" s="89" t="s">
        <v>34</v>
      </c>
      <c r="B3467" s="89" t="s">
        <v>616</v>
      </c>
      <c r="C3467" s="89">
        <v>452638.54</v>
      </c>
      <c r="D3467" s="89" t="s">
        <v>666</v>
      </c>
    </row>
    <row r="3468" spans="1:4" x14ac:dyDescent="0.25">
      <c r="A3468" s="89" t="s">
        <v>34</v>
      </c>
      <c r="B3468" s="89" t="s">
        <v>616</v>
      </c>
      <c r="C3468" s="89">
        <v>3856997.92</v>
      </c>
      <c r="D3468" s="89" t="s">
        <v>663</v>
      </c>
    </row>
    <row r="3469" spans="1:4" x14ac:dyDescent="0.25">
      <c r="A3469" s="89" t="s">
        <v>34</v>
      </c>
      <c r="B3469" s="89" t="s">
        <v>616</v>
      </c>
      <c r="C3469" s="89">
        <v>873115.42</v>
      </c>
      <c r="D3469" s="89" t="s">
        <v>666</v>
      </c>
    </row>
    <row r="3470" spans="1:4" x14ac:dyDescent="0.25">
      <c r="A3470" s="89" t="s">
        <v>34</v>
      </c>
      <c r="B3470" s="89" t="s">
        <v>616</v>
      </c>
      <c r="C3470" s="89">
        <v>2713610</v>
      </c>
      <c r="D3470" s="89" t="s">
        <v>666</v>
      </c>
    </row>
    <row r="3471" spans="1:4" x14ac:dyDescent="0.25">
      <c r="A3471" s="89" t="s">
        <v>34</v>
      </c>
      <c r="B3471" s="89" t="s">
        <v>616</v>
      </c>
      <c r="C3471" s="89">
        <v>1896959</v>
      </c>
      <c r="D3471" s="89" t="s">
        <v>666</v>
      </c>
    </row>
    <row r="3472" spans="1:4" x14ac:dyDescent="0.25">
      <c r="A3472" s="89" t="s">
        <v>34</v>
      </c>
      <c r="B3472" s="89" t="s">
        <v>616</v>
      </c>
      <c r="C3472" s="89">
        <v>3877267</v>
      </c>
      <c r="D3472" s="89" t="s">
        <v>663</v>
      </c>
    </row>
    <row r="3473" spans="1:4" x14ac:dyDescent="0.25">
      <c r="A3473" s="89" t="s">
        <v>34</v>
      </c>
      <c r="B3473" s="89" t="s">
        <v>616</v>
      </c>
      <c r="C3473" s="89">
        <v>1636345</v>
      </c>
      <c r="D3473" s="89" t="s">
        <v>663</v>
      </c>
    </row>
    <row r="3474" spans="1:4" x14ac:dyDescent="0.25">
      <c r="A3474" s="89" t="s">
        <v>34</v>
      </c>
      <c r="B3474" s="89" t="s">
        <v>616</v>
      </c>
      <c r="C3474" s="89">
        <v>-760.89</v>
      </c>
      <c r="D3474" s="89" t="s">
        <v>670</v>
      </c>
    </row>
    <row r="3475" spans="1:4" x14ac:dyDescent="0.25">
      <c r="A3475" s="89" t="s">
        <v>34</v>
      </c>
      <c r="B3475" s="89" t="s">
        <v>616</v>
      </c>
      <c r="C3475" s="89">
        <v>1061599</v>
      </c>
      <c r="D3475" s="89" t="s">
        <v>663</v>
      </c>
    </row>
    <row r="3476" spans="1:4" x14ac:dyDescent="0.25">
      <c r="A3476" s="89" t="s">
        <v>34</v>
      </c>
      <c r="B3476" s="89" t="s">
        <v>616</v>
      </c>
      <c r="C3476" s="89">
        <v>191822.58</v>
      </c>
      <c r="D3476" s="89" t="s">
        <v>666</v>
      </c>
    </row>
    <row r="3477" spans="1:4" x14ac:dyDescent="0.25">
      <c r="A3477" s="89" t="s">
        <v>34</v>
      </c>
      <c r="B3477" s="89" t="s">
        <v>616</v>
      </c>
      <c r="C3477" s="89">
        <v>600000</v>
      </c>
      <c r="D3477" s="89" t="s">
        <v>670</v>
      </c>
    </row>
    <row r="3478" spans="1:4" x14ac:dyDescent="0.25">
      <c r="A3478" s="89" t="s">
        <v>34</v>
      </c>
      <c r="B3478" s="89" t="s">
        <v>616</v>
      </c>
      <c r="C3478" s="89">
        <v>210000</v>
      </c>
      <c r="D3478" s="89" t="s">
        <v>670</v>
      </c>
    </row>
    <row r="3479" spans="1:4" x14ac:dyDescent="0.25">
      <c r="A3479" s="89" t="s">
        <v>34</v>
      </c>
      <c r="B3479" s="89" t="s">
        <v>616</v>
      </c>
      <c r="C3479" s="89">
        <v>369997</v>
      </c>
      <c r="D3479" s="89" t="s">
        <v>670</v>
      </c>
    </row>
    <row r="3480" spans="1:4" x14ac:dyDescent="0.25">
      <c r="A3480" s="89" t="s">
        <v>34</v>
      </c>
      <c r="B3480" s="89" t="s">
        <v>616</v>
      </c>
      <c r="C3480" s="89">
        <v>450000</v>
      </c>
      <c r="D3480" s="89" t="s">
        <v>670</v>
      </c>
    </row>
    <row r="3481" spans="1:4" x14ac:dyDescent="0.25">
      <c r="A3481" s="89" t="s">
        <v>34</v>
      </c>
      <c r="B3481" s="89" t="s">
        <v>616</v>
      </c>
      <c r="C3481" s="89">
        <v>500000</v>
      </c>
      <c r="D3481" s="89" t="s">
        <v>670</v>
      </c>
    </row>
    <row r="3482" spans="1:4" x14ac:dyDescent="0.25">
      <c r="A3482" s="89" t="s">
        <v>34</v>
      </c>
      <c r="B3482" s="89" t="s">
        <v>616</v>
      </c>
      <c r="C3482" s="89">
        <v>880000</v>
      </c>
      <c r="D3482" s="89" t="s">
        <v>670</v>
      </c>
    </row>
    <row r="3483" spans="1:4" x14ac:dyDescent="0.25">
      <c r="A3483" s="89" t="s">
        <v>34</v>
      </c>
      <c r="B3483" s="89" t="s">
        <v>616</v>
      </c>
      <c r="C3483" s="89">
        <v>3263909</v>
      </c>
      <c r="D3483" s="89" t="s">
        <v>663</v>
      </c>
    </row>
    <row r="3484" spans="1:4" x14ac:dyDescent="0.25">
      <c r="A3484" s="89" t="s">
        <v>34</v>
      </c>
      <c r="B3484" s="89" t="s">
        <v>616</v>
      </c>
      <c r="C3484" s="89">
        <v>-7013.62</v>
      </c>
      <c r="D3484" s="89" t="s">
        <v>670</v>
      </c>
    </row>
    <row r="3485" spans="1:4" x14ac:dyDescent="0.25">
      <c r="A3485" s="89" t="s">
        <v>34</v>
      </c>
      <c r="B3485" s="89" t="s">
        <v>616</v>
      </c>
      <c r="C3485" s="89">
        <v>116424.96000000001</v>
      </c>
      <c r="D3485" s="89" t="s">
        <v>666</v>
      </c>
    </row>
    <row r="3486" spans="1:4" x14ac:dyDescent="0.25">
      <c r="A3486" s="89" t="s">
        <v>34</v>
      </c>
      <c r="B3486" s="89" t="s">
        <v>616</v>
      </c>
      <c r="C3486" s="89">
        <v>71199.009999999995</v>
      </c>
      <c r="D3486" s="89" t="s">
        <v>666</v>
      </c>
    </row>
    <row r="3487" spans="1:4" x14ac:dyDescent="0.25">
      <c r="A3487" s="89" t="s">
        <v>34</v>
      </c>
      <c r="B3487" s="89" t="s">
        <v>616</v>
      </c>
      <c r="C3487" s="89">
        <v>1318760</v>
      </c>
      <c r="D3487" s="89" t="s">
        <v>666</v>
      </c>
    </row>
    <row r="3488" spans="1:4" x14ac:dyDescent="0.25">
      <c r="A3488" s="89" t="s">
        <v>34</v>
      </c>
      <c r="B3488" s="89" t="s">
        <v>616</v>
      </c>
      <c r="C3488" s="89">
        <v>50000</v>
      </c>
      <c r="D3488" s="89" t="s">
        <v>666</v>
      </c>
    </row>
    <row r="3489" spans="1:4" x14ac:dyDescent="0.25">
      <c r="A3489" s="89" t="s">
        <v>34</v>
      </c>
      <c r="B3489" s="89" t="s">
        <v>616</v>
      </c>
      <c r="C3489" s="89">
        <v>1300000</v>
      </c>
      <c r="D3489" s="89" t="s">
        <v>670</v>
      </c>
    </row>
    <row r="3490" spans="1:4" x14ac:dyDescent="0.25">
      <c r="A3490" s="89" t="s">
        <v>34</v>
      </c>
      <c r="B3490" s="89" t="s">
        <v>616</v>
      </c>
      <c r="C3490" s="89">
        <v>449219</v>
      </c>
      <c r="D3490" s="89" t="s">
        <v>663</v>
      </c>
    </row>
    <row r="3491" spans="1:4" x14ac:dyDescent="0.25">
      <c r="A3491" s="89" t="s">
        <v>34</v>
      </c>
      <c r="B3491" s="89" t="s">
        <v>616</v>
      </c>
      <c r="C3491" s="89">
        <v>1311106</v>
      </c>
      <c r="D3491" s="89" t="s">
        <v>670</v>
      </c>
    </row>
    <row r="3492" spans="1:4" x14ac:dyDescent="0.25">
      <c r="A3492" s="89" t="s">
        <v>34</v>
      </c>
      <c r="B3492" s="89" t="s">
        <v>616</v>
      </c>
      <c r="C3492" s="89">
        <v>3004093.7</v>
      </c>
      <c r="D3492" s="89" t="s">
        <v>666</v>
      </c>
    </row>
    <row r="3493" spans="1:4" x14ac:dyDescent="0.25">
      <c r="A3493" s="89" t="s">
        <v>34</v>
      </c>
      <c r="B3493" s="89" t="s">
        <v>616</v>
      </c>
      <c r="C3493" s="89">
        <v>3854273.8</v>
      </c>
      <c r="D3493" s="89" t="s">
        <v>666</v>
      </c>
    </row>
    <row r="3494" spans="1:4" x14ac:dyDescent="0.25">
      <c r="A3494" s="89" t="s">
        <v>34</v>
      </c>
      <c r="B3494" s="89" t="s">
        <v>616</v>
      </c>
      <c r="C3494" s="89">
        <v>50000</v>
      </c>
      <c r="D3494" s="89" t="s">
        <v>666</v>
      </c>
    </row>
    <row r="3495" spans="1:4" x14ac:dyDescent="0.25">
      <c r="A3495" s="89" t="s">
        <v>34</v>
      </c>
      <c r="B3495" s="89" t="s">
        <v>616</v>
      </c>
      <c r="C3495" s="89">
        <v>73372.44</v>
      </c>
      <c r="D3495" s="89" t="s">
        <v>666</v>
      </c>
    </row>
    <row r="3496" spans="1:4" x14ac:dyDescent="0.25">
      <c r="A3496" s="89" t="s">
        <v>34</v>
      </c>
      <c r="B3496" s="89" t="s">
        <v>616</v>
      </c>
      <c r="C3496" s="89">
        <v>2084933.18</v>
      </c>
      <c r="D3496" s="89" t="s">
        <v>663</v>
      </c>
    </row>
    <row r="3497" spans="1:4" x14ac:dyDescent="0.25">
      <c r="A3497" s="89" t="s">
        <v>34</v>
      </c>
      <c r="B3497" s="89" t="s">
        <v>616</v>
      </c>
      <c r="C3497" s="89">
        <v>213615.57</v>
      </c>
      <c r="D3497" s="89" t="s">
        <v>663</v>
      </c>
    </row>
    <row r="3498" spans="1:4" x14ac:dyDescent="0.25">
      <c r="A3498" s="89" t="s">
        <v>34</v>
      </c>
      <c r="B3498" s="89" t="s">
        <v>616</v>
      </c>
      <c r="C3498" s="89">
        <v>466183.4</v>
      </c>
      <c r="D3498" s="89" t="s">
        <v>666</v>
      </c>
    </row>
    <row r="3499" spans="1:4" x14ac:dyDescent="0.25">
      <c r="A3499" s="89" t="s">
        <v>34</v>
      </c>
      <c r="B3499" s="89" t="s">
        <v>616</v>
      </c>
      <c r="C3499" s="89">
        <v>404384</v>
      </c>
      <c r="D3499" s="89" t="s">
        <v>666</v>
      </c>
    </row>
    <row r="3500" spans="1:4" x14ac:dyDescent="0.25">
      <c r="A3500" s="89" t="s">
        <v>34</v>
      </c>
      <c r="B3500" s="89" t="s">
        <v>616</v>
      </c>
      <c r="C3500" s="89">
        <v>-2850.4</v>
      </c>
      <c r="D3500" s="89" t="s">
        <v>670</v>
      </c>
    </row>
    <row r="3501" spans="1:4" x14ac:dyDescent="0.25">
      <c r="A3501" s="89" t="s">
        <v>34</v>
      </c>
      <c r="B3501" s="89" t="s">
        <v>616</v>
      </c>
      <c r="C3501" s="89">
        <v>117590.93</v>
      </c>
      <c r="D3501" s="89" t="s">
        <v>666</v>
      </c>
    </row>
    <row r="3502" spans="1:4" x14ac:dyDescent="0.25">
      <c r="A3502" s="89" t="s">
        <v>34</v>
      </c>
      <c r="B3502" s="89" t="s">
        <v>616</v>
      </c>
      <c r="C3502" s="89">
        <v>1721661.52</v>
      </c>
      <c r="D3502" s="89" t="s">
        <v>663</v>
      </c>
    </row>
    <row r="3503" spans="1:4" x14ac:dyDescent="0.25">
      <c r="A3503" s="89" t="s">
        <v>34</v>
      </c>
      <c r="B3503" s="89" t="s">
        <v>616</v>
      </c>
      <c r="C3503" s="89">
        <v>2289766</v>
      </c>
      <c r="D3503" s="89" t="s">
        <v>663</v>
      </c>
    </row>
    <row r="3504" spans="1:4" x14ac:dyDescent="0.25">
      <c r="A3504" s="89" t="s">
        <v>33</v>
      </c>
      <c r="B3504" s="89" t="s">
        <v>616</v>
      </c>
      <c r="C3504" s="89">
        <v>146309.85999999999</v>
      </c>
      <c r="D3504" s="89" t="s">
        <v>666</v>
      </c>
    </row>
    <row r="3505" spans="1:4" x14ac:dyDescent="0.25">
      <c r="A3505" s="89" t="s">
        <v>33</v>
      </c>
      <c r="B3505" s="89" t="s">
        <v>616</v>
      </c>
      <c r="C3505" s="89">
        <v>125489.88</v>
      </c>
      <c r="D3505" s="89" t="s">
        <v>663</v>
      </c>
    </row>
    <row r="3506" spans="1:4" x14ac:dyDescent="0.25">
      <c r="A3506" s="89" t="s">
        <v>33</v>
      </c>
      <c r="B3506" s="89" t="s">
        <v>616</v>
      </c>
      <c r="C3506" s="89">
        <v>247174.71</v>
      </c>
      <c r="D3506" s="89" t="s">
        <v>666</v>
      </c>
    </row>
    <row r="3507" spans="1:4" x14ac:dyDescent="0.25">
      <c r="A3507" s="89" t="s">
        <v>33</v>
      </c>
      <c r="B3507" s="89" t="s">
        <v>616</v>
      </c>
      <c r="C3507" s="89">
        <v>200249.03</v>
      </c>
      <c r="D3507" s="89" t="s">
        <v>666</v>
      </c>
    </row>
    <row r="3508" spans="1:4" x14ac:dyDescent="0.25">
      <c r="A3508" s="89" t="s">
        <v>33</v>
      </c>
      <c r="B3508" s="89" t="s">
        <v>616</v>
      </c>
      <c r="C3508" s="89">
        <v>305650.84999999998</v>
      </c>
      <c r="D3508" s="89" t="s">
        <v>663</v>
      </c>
    </row>
    <row r="3509" spans="1:4" x14ac:dyDescent="0.25">
      <c r="A3509" s="89" t="s">
        <v>33</v>
      </c>
      <c r="B3509" s="89" t="s">
        <v>616</v>
      </c>
      <c r="C3509" s="89">
        <v>38221.800000000003</v>
      </c>
      <c r="D3509" s="89" t="s">
        <v>666</v>
      </c>
    </row>
    <row r="3510" spans="1:4" x14ac:dyDescent="0.25">
      <c r="A3510" s="89" t="s">
        <v>33</v>
      </c>
      <c r="B3510" s="89" t="s">
        <v>616</v>
      </c>
      <c r="C3510" s="89">
        <v>210538.63</v>
      </c>
      <c r="D3510" s="89" t="s">
        <v>663</v>
      </c>
    </row>
    <row r="3511" spans="1:4" x14ac:dyDescent="0.25">
      <c r="A3511" s="89" t="s">
        <v>33</v>
      </c>
      <c r="B3511" s="89" t="s">
        <v>616</v>
      </c>
      <c r="C3511" s="89">
        <v>1191738</v>
      </c>
      <c r="D3511" s="89" t="s">
        <v>666</v>
      </c>
    </row>
    <row r="3512" spans="1:4" x14ac:dyDescent="0.25">
      <c r="A3512" s="89" t="s">
        <v>33</v>
      </c>
      <c r="B3512" s="89" t="s">
        <v>616</v>
      </c>
      <c r="C3512" s="89">
        <v>69187.899999999994</v>
      </c>
      <c r="D3512" s="89" t="s">
        <v>666</v>
      </c>
    </row>
    <row r="3513" spans="1:4" x14ac:dyDescent="0.25">
      <c r="A3513" s="89" t="s">
        <v>33</v>
      </c>
      <c r="B3513" s="89" t="s">
        <v>616</v>
      </c>
      <c r="C3513" s="89">
        <v>400860.47</v>
      </c>
      <c r="D3513" s="89" t="s">
        <v>663</v>
      </c>
    </row>
    <row r="3514" spans="1:4" x14ac:dyDescent="0.25">
      <c r="A3514" s="89" t="s">
        <v>33</v>
      </c>
      <c r="B3514" s="89" t="s">
        <v>616</v>
      </c>
      <c r="C3514" s="89">
        <v>42696</v>
      </c>
      <c r="D3514" s="89" t="s">
        <v>666</v>
      </c>
    </row>
    <row r="3515" spans="1:4" x14ac:dyDescent="0.25">
      <c r="A3515" s="89" t="s">
        <v>33</v>
      </c>
      <c r="B3515" s="89" t="s">
        <v>616</v>
      </c>
      <c r="C3515" s="89">
        <v>229611.35</v>
      </c>
      <c r="D3515" s="89" t="s">
        <v>666</v>
      </c>
    </row>
    <row r="3516" spans="1:4" x14ac:dyDescent="0.25">
      <c r="A3516" s="89" t="s">
        <v>33</v>
      </c>
      <c r="B3516" s="89" t="s">
        <v>616</v>
      </c>
      <c r="C3516" s="89">
        <v>53225.96</v>
      </c>
      <c r="D3516" s="89" t="s">
        <v>666</v>
      </c>
    </row>
    <row r="3517" spans="1:4" x14ac:dyDescent="0.25">
      <c r="A3517" s="89" t="s">
        <v>33</v>
      </c>
      <c r="B3517" s="89" t="s">
        <v>616</v>
      </c>
      <c r="C3517" s="89">
        <v>155677.04</v>
      </c>
      <c r="D3517" s="89" t="s">
        <v>663</v>
      </c>
    </row>
    <row r="3518" spans="1:4" x14ac:dyDescent="0.25">
      <c r="A3518" s="89" t="s">
        <v>33</v>
      </c>
      <c r="B3518" s="89" t="s">
        <v>616</v>
      </c>
      <c r="C3518" s="89">
        <v>146064.81</v>
      </c>
      <c r="D3518" s="89" t="s">
        <v>663</v>
      </c>
    </row>
    <row r="3519" spans="1:4" x14ac:dyDescent="0.25">
      <c r="A3519" s="89" t="s">
        <v>33</v>
      </c>
      <c r="B3519" s="89" t="s">
        <v>616</v>
      </c>
      <c r="C3519" s="89">
        <v>45048.75</v>
      </c>
      <c r="D3519" s="89" t="s">
        <v>666</v>
      </c>
    </row>
    <row r="3520" spans="1:4" x14ac:dyDescent="0.25">
      <c r="A3520" s="89" t="s">
        <v>33</v>
      </c>
      <c r="B3520" s="89" t="s">
        <v>616</v>
      </c>
      <c r="C3520" s="89">
        <v>77199.02</v>
      </c>
      <c r="D3520" s="89" t="s">
        <v>663</v>
      </c>
    </row>
    <row r="3521" spans="1:4" x14ac:dyDescent="0.25">
      <c r="A3521" s="89" t="s">
        <v>33</v>
      </c>
      <c r="B3521" s="89" t="s">
        <v>616</v>
      </c>
      <c r="C3521" s="89">
        <v>943261</v>
      </c>
      <c r="D3521" s="89" t="s">
        <v>663</v>
      </c>
    </row>
    <row r="3522" spans="1:4" x14ac:dyDescent="0.25">
      <c r="A3522" s="89" t="s">
        <v>33</v>
      </c>
      <c r="B3522" s="89" t="s">
        <v>616</v>
      </c>
      <c r="C3522" s="89">
        <v>102681.49</v>
      </c>
      <c r="D3522" s="89" t="s">
        <v>666</v>
      </c>
    </row>
    <row r="3523" spans="1:4" x14ac:dyDescent="0.25">
      <c r="A3523" s="89" t="s">
        <v>33</v>
      </c>
      <c r="B3523" s="89" t="s">
        <v>616</v>
      </c>
      <c r="C3523" s="89">
        <v>221172.94</v>
      </c>
      <c r="D3523" s="89" t="s">
        <v>663</v>
      </c>
    </row>
    <row r="3524" spans="1:4" x14ac:dyDescent="0.25">
      <c r="A3524" s="89" t="s">
        <v>33</v>
      </c>
      <c r="B3524" s="89" t="s">
        <v>616</v>
      </c>
      <c r="C3524" s="89">
        <v>378086.77</v>
      </c>
      <c r="D3524" s="89" t="s">
        <v>666</v>
      </c>
    </row>
    <row r="3525" spans="1:4" x14ac:dyDescent="0.25">
      <c r="A3525" s="89" t="s">
        <v>33</v>
      </c>
      <c r="B3525" s="89" t="s">
        <v>616</v>
      </c>
      <c r="C3525" s="89">
        <v>258205.39</v>
      </c>
      <c r="D3525" s="89" t="s">
        <v>666</v>
      </c>
    </row>
    <row r="3526" spans="1:4" x14ac:dyDescent="0.25">
      <c r="A3526" s="89" t="s">
        <v>33</v>
      </c>
      <c r="B3526" s="89" t="s">
        <v>616</v>
      </c>
      <c r="C3526" s="89">
        <v>236525</v>
      </c>
      <c r="D3526" s="89" t="s">
        <v>663</v>
      </c>
    </row>
    <row r="3527" spans="1:4" x14ac:dyDescent="0.25">
      <c r="A3527" s="89" t="s">
        <v>33</v>
      </c>
      <c r="B3527" s="89" t="s">
        <v>616</v>
      </c>
      <c r="C3527" s="89">
        <v>641101.36</v>
      </c>
      <c r="D3527" s="89" t="s">
        <v>666</v>
      </c>
    </row>
    <row r="3528" spans="1:4" x14ac:dyDescent="0.25">
      <c r="A3528" s="89" t="s">
        <v>33</v>
      </c>
      <c r="B3528" s="89" t="s">
        <v>616</v>
      </c>
      <c r="C3528" s="89">
        <v>175867</v>
      </c>
      <c r="D3528" s="89" t="s">
        <v>666</v>
      </c>
    </row>
    <row r="3529" spans="1:4" x14ac:dyDescent="0.25">
      <c r="A3529" s="89" t="s">
        <v>33</v>
      </c>
      <c r="B3529" s="89" t="s">
        <v>616</v>
      </c>
      <c r="C3529" s="89">
        <v>477168.48</v>
      </c>
      <c r="D3529" s="89" t="s">
        <v>663</v>
      </c>
    </row>
    <row r="3530" spans="1:4" x14ac:dyDescent="0.25">
      <c r="A3530" s="89" t="s">
        <v>33</v>
      </c>
      <c r="B3530" s="89" t="s">
        <v>616</v>
      </c>
      <c r="C3530" s="89">
        <v>1592412.14</v>
      </c>
      <c r="D3530" s="89" t="s">
        <v>666</v>
      </c>
    </row>
    <row r="3531" spans="1:4" x14ac:dyDescent="0.25">
      <c r="A3531" s="89" t="s">
        <v>33</v>
      </c>
      <c r="B3531" s="89" t="s">
        <v>616</v>
      </c>
      <c r="C3531" s="89">
        <v>1804079.89</v>
      </c>
      <c r="D3531" s="89" t="s">
        <v>663</v>
      </c>
    </row>
    <row r="3532" spans="1:4" x14ac:dyDescent="0.25">
      <c r="A3532" s="89" t="s">
        <v>33</v>
      </c>
      <c r="B3532" s="89" t="s">
        <v>616</v>
      </c>
      <c r="C3532" s="89">
        <v>77608.009999999995</v>
      </c>
      <c r="D3532" s="89" t="s">
        <v>663</v>
      </c>
    </row>
    <row r="3533" spans="1:4" x14ac:dyDescent="0.25">
      <c r="A3533" s="89" t="s">
        <v>33</v>
      </c>
      <c r="B3533" s="89" t="s">
        <v>616</v>
      </c>
      <c r="C3533" s="89">
        <v>560575.64</v>
      </c>
      <c r="D3533" s="89" t="s">
        <v>666</v>
      </c>
    </row>
    <row r="3534" spans="1:4" x14ac:dyDescent="0.25">
      <c r="A3534" s="89" t="s">
        <v>33</v>
      </c>
      <c r="B3534" s="89" t="s">
        <v>616</v>
      </c>
      <c r="C3534" s="89">
        <v>123639.78</v>
      </c>
      <c r="D3534" s="89" t="s">
        <v>663</v>
      </c>
    </row>
    <row r="3535" spans="1:4" x14ac:dyDescent="0.25">
      <c r="A3535" s="89" t="s">
        <v>33</v>
      </c>
      <c r="B3535" s="89" t="s">
        <v>616</v>
      </c>
      <c r="C3535" s="89">
        <v>325174.03999999998</v>
      </c>
      <c r="D3535" s="89" t="s">
        <v>666</v>
      </c>
    </row>
    <row r="3536" spans="1:4" x14ac:dyDescent="0.25">
      <c r="A3536" s="89" t="s">
        <v>33</v>
      </c>
      <c r="B3536" s="89" t="s">
        <v>616</v>
      </c>
      <c r="C3536" s="89">
        <v>987767</v>
      </c>
      <c r="D3536" s="89" t="s">
        <v>666</v>
      </c>
    </row>
    <row r="3537" spans="1:4" x14ac:dyDescent="0.25">
      <c r="A3537" s="89" t="s">
        <v>33</v>
      </c>
      <c r="B3537" s="89" t="s">
        <v>616</v>
      </c>
      <c r="C3537" s="89">
        <v>35460.79</v>
      </c>
      <c r="D3537" s="89" t="s">
        <v>666</v>
      </c>
    </row>
    <row r="3538" spans="1:4" x14ac:dyDescent="0.25">
      <c r="A3538" s="89" t="s">
        <v>33</v>
      </c>
      <c r="B3538" s="89" t="s">
        <v>616</v>
      </c>
      <c r="C3538" s="89">
        <v>302187.03999999998</v>
      </c>
      <c r="D3538" s="89" t="s">
        <v>663</v>
      </c>
    </row>
    <row r="3539" spans="1:4" x14ac:dyDescent="0.25">
      <c r="A3539" s="89" t="s">
        <v>33</v>
      </c>
      <c r="B3539" s="89" t="s">
        <v>616</v>
      </c>
      <c r="C3539" s="89">
        <v>497432.23</v>
      </c>
      <c r="D3539" s="89" t="s">
        <v>663</v>
      </c>
    </row>
    <row r="3540" spans="1:4" x14ac:dyDescent="0.25">
      <c r="A3540" s="89" t="s">
        <v>33</v>
      </c>
      <c r="B3540" s="89" t="s">
        <v>616</v>
      </c>
      <c r="C3540" s="89">
        <v>1049774.05</v>
      </c>
      <c r="D3540" s="89" t="s">
        <v>663</v>
      </c>
    </row>
    <row r="3541" spans="1:4" x14ac:dyDescent="0.25">
      <c r="A3541" s="89" t="s">
        <v>33</v>
      </c>
      <c r="B3541" s="89" t="s">
        <v>616</v>
      </c>
      <c r="C3541" s="89">
        <v>460154</v>
      </c>
      <c r="D3541" s="89" t="s">
        <v>666</v>
      </c>
    </row>
    <row r="3542" spans="1:4" x14ac:dyDescent="0.25">
      <c r="A3542" s="89" t="s">
        <v>33</v>
      </c>
      <c r="B3542" s="89" t="s">
        <v>616</v>
      </c>
      <c r="C3542" s="89">
        <v>315088.03000000003</v>
      </c>
      <c r="D3542" s="89" t="s">
        <v>663</v>
      </c>
    </row>
    <row r="3543" spans="1:4" x14ac:dyDescent="0.25">
      <c r="A3543" s="89" t="s">
        <v>33</v>
      </c>
      <c r="B3543" s="89" t="s">
        <v>616</v>
      </c>
      <c r="C3543" s="89">
        <v>130760</v>
      </c>
      <c r="D3543" s="89" t="s">
        <v>663</v>
      </c>
    </row>
    <row r="3544" spans="1:4" x14ac:dyDescent="0.25">
      <c r="A3544" s="89" t="s">
        <v>33</v>
      </c>
      <c r="B3544" s="89" t="s">
        <v>616</v>
      </c>
      <c r="C3544" s="89">
        <v>86040</v>
      </c>
      <c r="D3544" s="89" t="s">
        <v>663</v>
      </c>
    </row>
    <row r="3545" spans="1:4" x14ac:dyDescent="0.25">
      <c r="A3545" s="89" t="s">
        <v>33</v>
      </c>
      <c r="B3545" s="89" t="s">
        <v>616</v>
      </c>
      <c r="C3545" s="89">
        <v>333761</v>
      </c>
      <c r="D3545" s="89" t="s">
        <v>666</v>
      </c>
    </row>
    <row r="3546" spans="1:4" x14ac:dyDescent="0.25">
      <c r="A3546" s="89" t="s">
        <v>33</v>
      </c>
      <c r="B3546" s="89" t="s">
        <v>616</v>
      </c>
      <c r="C3546" s="89">
        <v>188185.2</v>
      </c>
      <c r="D3546" s="89" t="s">
        <v>666</v>
      </c>
    </row>
    <row r="3547" spans="1:4" x14ac:dyDescent="0.25">
      <c r="A3547" s="89" t="s">
        <v>33</v>
      </c>
      <c r="B3547" s="89" t="s">
        <v>616</v>
      </c>
      <c r="C3547" s="89">
        <v>327324</v>
      </c>
      <c r="D3547" s="89" t="s">
        <v>663</v>
      </c>
    </row>
    <row r="3548" spans="1:4" x14ac:dyDescent="0.25">
      <c r="A3548" s="89" t="s">
        <v>33</v>
      </c>
      <c r="B3548" s="89" t="s">
        <v>616</v>
      </c>
      <c r="C3548" s="89">
        <v>85455</v>
      </c>
      <c r="D3548" s="89" t="s">
        <v>666</v>
      </c>
    </row>
    <row r="3549" spans="1:4" x14ac:dyDescent="0.25">
      <c r="A3549" s="89" t="s">
        <v>33</v>
      </c>
      <c r="B3549" s="89" t="s">
        <v>616</v>
      </c>
      <c r="C3549" s="89">
        <v>138019.5</v>
      </c>
      <c r="D3549" s="89" t="s">
        <v>663</v>
      </c>
    </row>
    <row r="3550" spans="1:4" x14ac:dyDescent="0.25">
      <c r="A3550" s="89" t="s">
        <v>33</v>
      </c>
      <c r="B3550" s="89" t="s">
        <v>616</v>
      </c>
      <c r="C3550" s="89">
        <v>42960</v>
      </c>
      <c r="D3550" s="89" t="s">
        <v>666</v>
      </c>
    </row>
    <row r="3551" spans="1:4" x14ac:dyDescent="0.25">
      <c r="A3551" s="89" t="s">
        <v>33</v>
      </c>
      <c r="B3551" s="89" t="s">
        <v>616</v>
      </c>
      <c r="C3551" s="89">
        <v>287807</v>
      </c>
      <c r="D3551" s="89" t="s">
        <v>666</v>
      </c>
    </row>
    <row r="3552" spans="1:4" x14ac:dyDescent="0.25">
      <c r="A3552" s="89" t="s">
        <v>33</v>
      </c>
      <c r="B3552" s="89" t="s">
        <v>616</v>
      </c>
      <c r="C3552" s="89">
        <v>334441.99</v>
      </c>
      <c r="D3552" s="89" t="s">
        <v>663</v>
      </c>
    </row>
    <row r="3553" spans="1:4" x14ac:dyDescent="0.25">
      <c r="A3553" s="89" t="s">
        <v>33</v>
      </c>
      <c r="B3553" s="89" t="s">
        <v>616</v>
      </c>
      <c r="C3553" s="89">
        <v>644960</v>
      </c>
      <c r="D3553" s="89" t="s">
        <v>663</v>
      </c>
    </row>
    <row r="3554" spans="1:4" x14ac:dyDescent="0.25">
      <c r="A3554" s="89" t="s">
        <v>33</v>
      </c>
      <c r="B3554" s="89" t="s">
        <v>616</v>
      </c>
      <c r="C3554" s="89">
        <v>1733253</v>
      </c>
      <c r="D3554" s="89" t="s">
        <v>663</v>
      </c>
    </row>
    <row r="3555" spans="1:4" x14ac:dyDescent="0.25">
      <c r="A3555" s="89" t="s">
        <v>33</v>
      </c>
      <c r="B3555" s="89" t="s">
        <v>616</v>
      </c>
      <c r="C3555" s="89">
        <v>115140</v>
      </c>
      <c r="D3555" s="89" t="s">
        <v>665</v>
      </c>
    </row>
    <row r="3556" spans="1:4" x14ac:dyDescent="0.25">
      <c r="A3556" s="89" t="s">
        <v>33</v>
      </c>
      <c r="B3556" s="89" t="s">
        <v>616</v>
      </c>
      <c r="C3556" s="89">
        <v>893654.2</v>
      </c>
      <c r="D3556" s="89" t="s">
        <v>666</v>
      </c>
    </row>
    <row r="3557" spans="1:4" x14ac:dyDescent="0.25">
      <c r="A3557" s="89" t="s">
        <v>33</v>
      </c>
      <c r="B3557" s="89" t="s">
        <v>616</v>
      </c>
      <c r="C3557" s="89">
        <v>2100261</v>
      </c>
      <c r="D3557" s="89" t="s">
        <v>665</v>
      </c>
    </row>
    <row r="3558" spans="1:4" x14ac:dyDescent="0.25">
      <c r="A3558" s="89" t="s">
        <v>33</v>
      </c>
      <c r="B3558" s="89" t="s">
        <v>616</v>
      </c>
      <c r="C3558" s="89">
        <v>656036.39</v>
      </c>
      <c r="D3558" s="89" t="s">
        <v>663</v>
      </c>
    </row>
    <row r="3559" spans="1:4" x14ac:dyDescent="0.25">
      <c r="A3559" s="89" t="s">
        <v>33</v>
      </c>
      <c r="B3559" s="89" t="s">
        <v>616</v>
      </c>
      <c r="C3559" s="89">
        <v>699245.86</v>
      </c>
      <c r="D3559" s="89" t="s">
        <v>666</v>
      </c>
    </row>
    <row r="3560" spans="1:4" x14ac:dyDescent="0.25">
      <c r="A3560" s="89" t="s">
        <v>33</v>
      </c>
      <c r="B3560" s="89" t="s">
        <v>616</v>
      </c>
      <c r="C3560" s="89">
        <v>1211198.74</v>
      </c>
      <c r="D3560" s="89" t="s">
        <v>663</v>
      </c>
    </row>
    <row r="3561" spans="1:4" x14ac:dyDescent="0.25">
      <c r="A3561" s="89" t="s">
        <v>33</v>
      </c>
      <c r="B3561" s="89" t="s">
        <v>616</v>
      </c>
      <c r="C3561" s="89">
        <v>584140.62</v>
      </c>
      <c r="D3561" s="89" t="s">
        <v>666</v>
      </c>
    </row>
    <row r="3562" spans="1:4" x14ac:dyDescent="0.25">
      <c r="A3562" s="89" t="s">
        <v>159</v>
      </c>
      <c r="B3562" s="89" t="s">
        <v>615</v>
      </c>
      <c r="C3562" s="89">
        <v>659372.31000000006</v>
      </c>
      <c r="D3562" s="89" t="s">
        <v>663</v>
      </c>
    </row>
    <row r="3563" spans="1:4" x14ac:dyDescent="0.25">
      <c r="A3563" s="89" t="s">
        <v>159</v>
      </c>
      <c r="B3563" s="89" t="s">
        <v>615</v>
      </c>
      <c r="C3563" s="89">
        <v>659109.30409999995</v>
      </c>
      <c r="D3563" s="89" t="s">
        <v>666</v>
      </c>
    </row>
    <row r="3564" spans="1:4" x14ac:dyDescent="0.25">
      <c r="A3564" s="89" t="s">
        <v>159</v>
      </c>
      <c r="B3564" s="89" t="s">
        <v>615</v>
      </c>
      <c r="C3564" s="89">
        <v>582080.94999999995</v>
      </c>
      <c r="D3564" s="89" t="s">
        <v>663</v>
      </c>
    </row>
    <row r="3565" spans="1:4" x14ac:dyDescent="0.25">
      <c r="A3565" s="89" t="s">
        <v>159</v>
      </c>
      <c r="B3565" s="89" t="s">
        <v>615</v>
      </c>
      <c r="C3565" s="89">
        <v>282908.52</v>
      </c>
      <c r="D3565" s="89" t="s">
        <v>666</v>
      </c>
    </row>
    <row r="3566" spans="1:4" x14ac:dyDescent="0.25">
      <c r="A3566" s="89" t="s">
        <v>159</v>
      </c>
      <c r="B3566" s="89" t="s">
        <v>615</v>
      </c>
      <c r="C3566" s="89">
        <v>381505.57</v>
      </c>
      <c r="D3566" s="89" t="s">
        <v>663</v>
      </c>
    </row>
    <row r="3567" spans="1:4" x14ac:dyDescent="0.25">
      <c r="A3567" s="89" t="s">
        <v>159</v>
      </c>
      <c r="B3567" s="89" t="s">
        <v>615</v>
      </c>
      <c r="C3567" s="89">
        <v>545146.75</v>
      </c>
      <c r="D3567" s="89" t="s">
        <v>663</v>
      </c>
    </row>
    <row r="3568" spans="1:4" x14ac:dyDescent="0.25">
      <c r="A3568" s="89" t="s">
        <v>159</v>
      </c>
      <c r="B3568" s="89" t="s">
        <v>615</v>
      </c>
      <c r="C3568" s="89">
        <v>891070.48</v>
      </c>
      <c r="D3568" s="89" t="s">
        <v>663</v>
      </c>
    </row>
    <row r="3569" spans="1:4" x14ac:dyDescent="0.25">
      <c r="A3569" s="89" t="s">
        <v>159</v>
      </c>
      <c r="B3569" s="89" t="s">
        <v>615</v>
      </c>
      <c r="C3569" s="89">
        <v>320306.19</v>
      </c>
      <c r="D3569" s="89" t="s">
        <v>666</v>
      </c>
    </row>
    <row r="3570" spans="1:4" x14ac:dyDescent="0.25">
      <c r="A3570" s="89" t="s">
        <v>159</v>
      </c>
      <c r="B3570" s="89" t="s">
        <v>615</v>
      </c>
      <c r="C3570" s="89">
        <v>193509.66</v>
      </c>
      <c r="D3570" s="89" t="s">
        <v>663</v>
      </c>
    </row>
    <row r="3571" spans="1:4" x14ac:dyDescent="0.25">
      <c r="A3571" s="89" t="s">
        <v>159</v>
      </c>
      <c r="B3571" s="89" t="s">
        <v>615</v>
      </c>
      <c r="C3571" s="89">
        <v>872157.73</v>
      </c>
      <c r="D3571" s="89" t="s">
        <v>663</v>
      </c>
    </row>
    <row r="3572" spans="1:4" x14ac:dyDescent="0.25">
      <c r="A3572" s="89" t="s">
        <v>159</v>
      </c>
      <c r="B3572" s="89" t="s">
        <v>615</v>
      </c>
      <c r="C3572" s="89">
        <v>200472.49</v>
      </c>
      <c r="D3572" s="89" t="s">
        <v>666</v>
      </c>
    </row>
    <row r="3573" spans="1:4" x14ac:dyDescent="0.25">
      <c r="A3573" s="89" t="s">
        <v>159</v>
      </c>
      <c r="B3573" s="89" t="s">
        <v>615</v>
      </c>
      <c r="C3573" s="89">
        <v>1265958.23</v>
      </c>
      <c r="D3573" s="89" t="s">
        <v>663</v>
      </c>
    </row>
    <row r="3574" spans="1:4" x14ac:dyDescent="0.25">
      <c r="A3574" s="89" t="s">
        <v>159</v>
      </c>
      <c r="B3574" s="89" t="s">
        <v>615</v>
      </c>
      <c r="C3574" s="89">
        <v>209822.31</v>
      </c>
      <c r="D3574" s="89" t="s">
        <v>666</v>
      </c>
    </row>
    <row r="3575" spans="1:4" x14ac:dyDescent="0.25">
      <c r="A3575" s="89" t="s">
        <v>32</v>
      </c>
      <c r="B3575" s="89" t="s">
        <v>616</v>
      </c>
      <c r="C3575" s="89">
        <v>803854</v>
      </c>
      <c r="D3575" s="89" t="s">
        <v>663</v>
      </c>
    </row>
    <row r="3576" spans="1:4" x14ac:dyDescent="0.25">
      <c r="A3576" s="89" t="s">
        <v>32</v>
      </c>
      <c r="B3576" s="89" t="s">
        <v>616</v>
      </c>
      <c r="C3576" s="89">
        <v>2166490</v>
      </c>
      <c r="D3576" s="89" t="s">
        <v>663</v>
      </c>
    </row>
    <row r="3577" spans="1:4" x14ac:dyDescent="0.25">
      <c r="A3577" s="89" t="s">
        <v>32</v>
      </c>
      <c r="B3577" s="89" t="s">
        <v>616</v>
      </c>
      <c r="C3577" s="89">
        <v>1044786</v>
      </c>
      <c r="D3577" s="89" t="s">
        <v>663</v>
      </c>
    </row>
    <row r="3578" spans="1:4" x14ac:dyDescent="0.25">
      <c r="A3578" s="89" t="s">
        <v>32</v>
      </c>
      <c r="B3578" s="89" t="s">
        <v>616</v>
      </c>
      <c r="C3578" s="89">
        <v>1550511</v>
      </c>
      <c r="D3578" s="89" t="s">
        <v>663</v>
      </c>
    </row>
    <row r="3579" spans="1:4" x14ac:dyDescent="0.25">
      <c r="A3579" s="89" t="s">
        <v>32</v>
      </c>
      <c r="B3579" s="89" t="s">
        <v>616</v>
      </c>
      <c r="C3579" s="89">
        <v>1875311</v>
      </c>
      <c r="D3579" s="89" t="s">
        <v>663</v>
      </c>
    </row>
    <row r="3580" spans="1:4" x14ac:dyDescent="0.25">
      <c r="A3580" s="89" t="s">
        <v>32</v>
      </c>
      <c r="B3580" s="89" t="s">
        <v>616</v>
      </c>
      <c r="C3580" s="89">
        <v>589124</v>
      </c>
      <c r="D3580" s="89" t="s">
        <v>663</v>
      </c>
    </row>
    <row r="3581" spans="1:4" x14ac:dyDescent="0.25">
      <c r="A3581" s="89" t="s">
        <v>32</v>
      </c>
      <c r="B3581" s="89" t="s">
        <v>616</v>
      </c>
      <c r="C3581" s="89">
        <v>75345</v>
      </c>
      <c r="D3581" s="89" t="s">
        <v>666</v>
      </c>
    </row>
    <row r="3582" spans="1:4" x14ac:dyDescent="0.25">
      <c r="A3582" s="89" t="s">
        <v>32</v>
      </c>
      <c r="B3582" s="89" t="s">
        <v>616</v>
      </c>
      <c r="C3582" s="89">
        <v>2494644</v>
      </c>
      <c r="D3582" s="89" t="s">
        <v>663</v>
      </c>
    </row>
    <row r="3583" spans="1:4" x14ac:dyDescent="0.25">
      <c r="A3583" s="89" t="s">
        <v>32</v>
      </c>
      <c r="B3583" s="89" t="s">
        <v>616</v>
      </c>
      <c r="C3583" s="89">
        <v>253480</v>
      </c>
      <c r="D3583" s="89" t="s">
        <v>666</v>
      </c>
    </row>
    <row r="3584" spans="1:4" x14ac:dyDescent="0.25">
      <c r="A3584" s="89" t="s">
        <v>32</v>
      </c>
      <c r="B3584" s="89" t="s">
        <v>616</v>
      </c>
      <c r="C3584" s="89">
        <v>50000</v>
      </c>
      <c r="D3584" s="89" t="s">
        <v>666</v>
      </c>
    </row>
    <row r="3585" spans="1:4" x14ac:dyDescent="0.25">
      <c r="A3585" s="89" t="s">
        <v>32</v>
      </c>
      <c r="B3585" s="89" t="s">
        <v>616</v>
      </c>
      <c r="C3585" s="89">
        <v>100000</v>
      </c>
      <c r="D3585" s="89" t="s">
        <v>666</v>
      </c>
    </row>
    <row r="3586" spans="1:4" x14ac:dyDescent="0.25">
      <c r="A3586" s="89" t="s">
        <v>32</v>
      </c>
      <c r="B3586" s="89" t="s">
        <v>616</v>
      </c>
      <c r="C3586" s="89">
        <v>299128</v>
      </c>
      <c r="D3586" s="89" t="s">
        <v>663</v>
      </c>
    </row>
    <row r="3587" spans="1:4" x14ac:dyDescent="0.25">
      <c r="A3587" s="89" t="s">
        <v>32</v>
      </c>
      <c r="B3587" s="89" t="s">
        <v>616</v>
      </c>
      <c r="C3587" s="89">
        <v>1581014</v>
      </c>
      <c r="D3587" s="89" t="s">
        <v>663</v>
      </c>
    </row>
    <row r="3588" spans="1:4" x14ac:dyDescent="0.25">
      <c r="A3588" s="89" t="s">
        <v>32</v>
      </c>
      <c r="B3588" s="89" t="s">
        <v>616</v>
      </c>
      <c r="C3588" s="89">
        <v>182240</v>
      </c>
      <c r="D3588" s="89" t="s">
        <v>666</v>
      </c>
    </row>
    <row r="3589" spans="1:4" x14ac:dyDescent="0.25">
      <c r="A3589" s="89" t="s">
        <v>32</v>
      </c>
      <c r="B3589" s="89" t="s">
        <v>616</v>
      </c>
      <c r="C3589" s="89">
        <v>2299635</v>
      </c>
      <c r="D3589" s="89" t="s">
        <v>663</v>
      </c>
    </row>
    <row r="3590" spans="1:4" x14ac:dyDescent="0.25">
      <c r="A3590" s="89" t="s">
        <v>32</v>
      </c>
      <c r="B3590" s="89" t="s">
        <v>616</v>
      </c>
      <c r="C3590" s="89">
        <v>167189</v>
      </c>
      <c r="D3590" s="89" t="s">
        <v>663</v>
      </c>
    </row>
    <row r="3591" spans="1:4" x14ac:dyDescent="0.25">
      <c r="A3591" s="89" t="s">
        <v>32</v>
      </c>
      <c r="B3591" s="89" t="s">
        <v>616</v>
      </c>
      <c r="C3591" s="89">
        <v>52357</v>
      </c>
      <c r="D3591" s="89" t="s">
        <v>663</v>
      </c>
    </row>
    <row r="3592" spans="1:4" x14ac:dyDescent="0.25">
      <c r="A3592" s="89" t="s">
        <v>32</v>
      </c>
      <c r="B3592" s="89" t="s">
        <v>616</v>
      </c>
      <c r="C3592" s="89">
        <v>389460</v>
      </c>
      <c r="D3592" s="89" t="s">
        <v>666</v>
      </c>
    </row>
    <row r="3593" spans="1:4" x14ac:dyDescent="0.25">
      <c r="A3593" s="89" t="s">
        <v>32</v>
      </c>
      <c r="B3593" s="89" t="s">
        <v>616</v>
      </c>
      <c r="C3593" s="89">
        <v>1904462</v>
      </c>
      <c r="D3593" s="89" t="s">
        <v>663</v>
      </c>
    </row>
    <row r="3594" spans="1:4" x14ac:dyDescent="0.25">
      <c r="A3594" s="89" t="s">
        <v>32</v>
      </c>
      <c r="B3594" s="89" t="s">
        <v>616</v>
      </c>
      <c r="C3594" s="89">
        <v>9154</v>
      </c>
      <c r="D3594" s="89" t="s">
        <v>663</v>
      </c>
    </row>
    <row r="3595" spans="1:4" x14ac:dyDescent="0.25">
      <c r="A3595" s="89" t="s">
        <v>32</v>
      </c>
      <c r="B3595" s="89" t="s">
        <v>616</v>
      </c>
      <c r="C3595" s="89">
        <v>638257</v>
      </c>
      <c r="D3595" s="89" t="s">
        <v>663</v>
      </c>
    </row>
    <row r="3596" spans="1:4" x14ac:dyDescent="0.25">
      <c r="A3596" s="89" t="s">
        <v>32</v>
      </c>
      <c r="B3596" s="89" t="s">
        <v>616</v>
      </c>
      <c r="C3596" s="89">
        <v>409297</v>
      </c>
      <c r="D3596" s="89" t="s">
        <v>663</v>
      </c>
    </row>
    <row r="3597" spans="1:4" x14ac:dyDescent="0.25">
      <c r="A3597" s="89" t="s">
        <v>32</v>
      </c>
      <c r="B3597" s="89" t="s">
        <v>616</v>
      </c>
      <c r="C3597" s="89">
        <v>242395</v>
      </c>
      <c r="D3597" s="89" t="s">
        <v>663</v>
      </c>
    </row>
    <row r="3598" spans="1:4" x14ac:dyDescent="0.25">
      <c r="A3598" s="89" t="s">
        <v>32</v>
      </c>
      <c r="B3598" s="89" t="s">
        <v>616</v>
      </c>
      <c r="C3598" s="89">
        <v>420000</v>
      </c>
      <c r="D3598" s="89" t="s">
        <v>663</v>
      </c>
    </row>
    <row r="3599" spans="1:4" x14ac:dyDescent="0.25">
      <c r="A3599" s="89" t="s">
        <v>32</v>
      </c>
      <c r="B3599" s="89" t="s">
        <v>616</v>
      </c>
      <c r="C3599" s="89">
        <v>87853</v>
      </c>
      <c r="D3599" s="89" t="s">
        <v>663</v>
      </c>
    </row>
    <row r="3600" spans="1:4" x14ac:dyDescent="0.25">
      <c r="A3600" s="89" t="s">
        <v>32</v>
      </c>
      <c r="B3600" s="89" t="s">
        <v>616</v>
      </c>
      <c r="C3600" s="89">
        <v>1782261.95</v>
      </c>
      <c r="D3600" s="89" t="s">
        <v>663</v>
      </c>
    </row>
    <row r="3601" spans="1:4" x14ac:dyDescent="0.25">
      <c r="A3601" s="89" t="s">
        <v>32</v>
      </c>
      <c r="B3601" s="89" t="s">
        <v>616</v>
      </c>
      <c r="C3601" s="89">
        <v>866911</v>
      </c>
      <c r="D3601" s="89" t="s">
        <v>666</v>
      </c>
    </row>
    <row r="3602" spans="1:4" x14ac:dyDescent="0.25">
      <c r="A3602" s="89" t="s">
        <v>32</v>
      </c>
      <c r="B3602" s="89" t="s">
        <v>616</v>
      </c>
      <c r="C3602" s="89">
        <v>127535.49</v>
      </c>
      <c r="D3602" s="89" t="s">
        <v>666</v>
      </c>
    </row>
    <row r="3603" spans="1:4" x14ac:dyDescent="0.25">
      <c r="A3603" s="89" t="s">
        <v>32</v>
      </c>
      <c r="B3603" s="89" t="s">
        <v>616</v>
      </c>
      <c r="C3603" s="89">
        <v>4518096</v>
      </c>
      <c r="D3603" s="89" t="s">
        <v>663</v>
      </c>
    </row>
    <row r="3604" spans="1:4" x14ac:dyDescent="0.25">
      <c r="A3604" s="89" t="s">
        <v>32</v>
      </c>
      <c r="B3604" s="89" t="s">
        <v>616</v>
      </c>
      <c r="C3604" s="89">
        <v>740500</v>
      </c>
      <c r="D3604" s="89" t="s">
        <v>666</v>
      </c>
    </row>
    <row r="3605" spans="1:4" x14ac:dyDescent="0.25">
      <c r="A3605" s="89" t="s">
        <v>32</v>
      </c>
      <c r="B3605" s="89" t="s">
        <v>616</v>
      </c>
      <c r="C3605" s="89">
        <v>98627.85</v>
      </c>
      <c r="D3605" s="89" t="s">
        <v>666</v>
      </c>
    </row>
    <row r="3606" spans="1:4" x14ac:dyDescent="0.25">
      <c r="A3606" s="89" t="s">
        <v>32</v>
      </c>
      <c r="B3606" s="89" t="s">
        <v>616</v>
      </c>
      <c r="C3606" s="89">
        <v>-8092.41</v>
      </c>
      <c r="D3606" s="89" t="s">
        <v>663</v>
      </c>
    </row>
    <row r="3607" spans="1:4" x14ac:dyDescent="0.25">
      <c r="A3607" s="89" t="s">
        <v>32</v>
      </c>
      <c r="B3607" s="89" t="s">
        <v>616</v>
      </c>
      <c r="C3607" s="89">
        <v>176775</v>
      </c>
      <c r="D3607" s="89" t="s">
        <v>666</v>
      </c>
    </row>
    <row r="3608" spans="1:4" x14ac:dyDescent="0.25">
      <c r="A3608" s="89" t="s">
        <v>32</v>
      </c>
      <c r="B3608" s="89" t="s">
        <v>616</v>
      </c>
      <c r="C3608" s="89">
        <v>295292.73</v>
      </c>
      <c r="D3608" s="89" t="s">
        <v>663</v>
      </c>
    </row>
    <row r="3609" spans="1:4" x14ac:dyDescent="0.25">
      <c r="A3609" s="89" t="s">
        <v>32</v>
      </c>
      <c r="B3609" s="89" t="s">
        <v>616</v>
      </c>
      <c r="C3609" s="89">
        <v>3643288.23</v>
      </c>
      <c r="D3609" s="89" t="s">
        <v>663</v>
      </c>
    </row>
    <row r="3610" spans="1:4" x14ac:dyDescent="0.25">
      <c r="A3610" s="89" t="s">
        <v>32</v>
      </c>
      <c r="B3610" s="89" t="s">
        <v>616</v>
      </c>
      <c r="C3610" s="89">
        <v>50000</v>
      </c>
      <c r="D3610" s="89" t="s">
        <v>666</v>
      </c>
    </row>
    <row r="3611" spans="1:4" x14ac:dyDescent="0.25">
      <c r="A3611" s="89" t="s">
        <v>32</v>
      </c>
      <c r="B3611" s="89" t="s">
        <v>616</v>
      </c>
      <c r="C3611" s="89">
        <v>60764.02</v>
      </c>
      <c r="D3611" s="89" t="s">
        <v>663</v>
      </c>
    </row>
    <row r="3612" spans="1:4" x14ac:dyDescent="0.25">
      <c r="A3612" s="89" t="s">
        <v>32</v>
      </c>
      <c r="B3612" s="89" t="s">
        <v>616</v>
      </c>
      <c r="C3612" s="89">
        <v>371326.9</v>
      </c>
      <c r="D3612" s="89" t="s">
        <v>663</v>
      </c>
    </row>
    <row r="3613" spans="1:4" x14ac:dyDescent="0.25">
      <c r="A3613" s="89" t="s">
        <v>32</v>
      </c>
      <c r="B3613" s="89" t="s">
        <v>616</v>
      </c>
      <c r="C3613" s="89">
        <v>22225.599999999999</v>
      </c>
      <c r="D3613" s="89" t="s">
        <v>663</v>
      </c>
    </row>
    <row r="3614" spans="1:4" x14ac:dyDescent="0.25">
      <c r="A3614" s="89" t="s">
        <v>32</v>
      </c>
      <c r="B3614" s="89" t="s">
        <v>616</v>
      </c>
      <c r="C3614" s="89">
        <v>524495</v>
      </c>
      <c r="D3614" s="89" t="s">
        <v>663</v>
      </c>
    </row>
    <row r="3615" spans="1:4" x14ac:dyDescent="0.25">
      <c r="A3615" s="89" t="s">
        <v>80</v>
      </c>
      <c r="B3615" s="89" t="s">
        <v>617</v>
      </c>
      <c r="C3615" s="89">
        <v>445230</v>
      </c>
      <c r="D3615" s="89" t="s">
        <v>666</v>
      </c>
    </row>
    <row r="3616" spans="1:4" x14ac:dyDescent="0.25">
      <c r="A3616" s="89" t="s">
        <v>80</v>
      </c>
      <c r="B3616" s="89" t="s">
        <v>617</v>
      </c>
      <c r="C3616" s="89">
        <v>1933939</v>
      </c>
      <c r="D3616" s="89" t="s">
        <v>663</v>
      </c>
    </row>
    <row r="3617" spans="1:4" x14ac:dyDescent="0.25">
      <c r="A3617" s="89" t="s">
        <v>80</v>
      </c>
      <c r="B3617" s="89" t="s">
        <v>617</v>
      </c>
      <c r="C3617" s="89">
        <v>10113438</v>
      </c>
      <c r="D3617" s="89" t="s">
        <v>663</v>
      </c>
    </row>
    <row r="3618" spans="1:4" x14ac:dyDescent="0.25">
      <c r="A3618" s="89" t="s">
        <v>80</v>
      </c>
      <c r="B3618" s="89" t="s">
        <v>617</v>
      </c>
      <c r="C3618" s="89">
        <v>5380306</v>
      </c>
      <c r="D3618" s="89" t="s">
        <v>664</v>
      </c>
    </row>
    <row r="3619" spans="1:4" x14ac:dyDescent="0.25">
      <c r="A3619" s="89" t="s">
        <v>80</v>
      </c>
      <c r="B3619" s="89" t="s">
        <v>617</v>
      </c>
      <c r="C3619" s="89">
        <v>5959792</v>
      </c>
      <c r="D3619" s="89" t="s">
        <v>666</v>
      </c>
    </row>
    <row r="3620" spans="1:4" x14ac:dyDescent="0.25">
      <c r="A3620" s="89" t="s">
        <v>80</v>
      </c>
      <c r="B3620" s="89" t="s">
        <v>617</v>
      </c>
      <c r="C3620" s="89">
        <v>1255750</v>
      </c>
      <c r="D3620" s="89" t="s">
        <v>666</v>
      </c>
    </row>
    <row r="3621" spans="1:4" x14ac:dyDescent="0.25">
      <c r="A3621" s="89" t="s">
        <v>80</v>
      </c>
      <c r="B3621" s="89" t="s">
        <v>617</v>
      </c>
      <c r="C3621" s="89">
        <v>6653717.6600000001</v>
      </c>
      <c r="D3621" s="89" t="s">
        <v>664</v>
      </c>
    </row>
    <row r="3622" spans="1:4" x14ac:dyDescent="0.25">
      <c r="A3622" s="89" t="s">
        <v>80</v>
      </c>
      <c r="B3622" s="89" t="s">
        <v>617</v>
      </c>
      <c r="C3622" s="89">
        <v>7475099</v>
      </c>
      <c r="D3622" s="89" t="s">
        <v>663</v>
      </c>
    </row>
    <row r="3623" spans="1:4" x14ac:dyDescent="0.25">
      <c r="A3623" s="89" t="s">
        <v>80</v>
      </c>
      <c r="B3623" s="89" t="s">
        <v>617</v>
      </c>
      <c r="C3623" s="89">
        <v>3000000</v>
      </c>
      <c r="D3623" s="89" t="s">
        <v>663</v>
      </c>
    </row>
    <row r="3624" spans="1:4" x14ac:dyDescent="0.25">
      <c r="A3624" s="89" t="s">
        <v>80</v>
      </c>
      <c r="B3624" s="89" t="s">
        <v>617</v>
      </c>
      <c r="C3624" s="89">
        <v>2134833.86</v>
      </c>
      <c r="D3624" s="89" t="s">
        <v>666</v>
      </c>
    </row>
    <row r="3625" spans="1:4" x14ac:dyDescent="0.25">
      <c r="A3625" s="89" t="s">
        <v>80</v>
      </c>
      <c r="B3625" s="89" t="s">
        <v>617</v>
      </c>
      <c r="C3625" s="89">
        <v>605040.68000000005</v>
      </c>
      <c r="D3625" s="89" t="s">
        <v>663</v>
      </c>
    </row>
    <row r="3626" spans="1:4" x14ac:dyDescent="0.25">
      <c r="A3626" s="89" t="s">
        <v>80</v>
      </c>
      <c r="B3626" s="89" t="s">
        <v>617</v>
      </c>
      <c r="C3626" s="89">
        <v>4295890.59</v>
      </c>
      <c r="D3626" s="89" t="s">
        <v>664</v>
      </c>
    </row>
    <row r="3627" spans="1:4" x14ac:dyDescent="0.25">
      <c r="A3627" s="89" t="s">
        <v>80</v>
      </c>
      <c r="B3627" s="89" t="s">
        <v>617</v>
      </c>
      <c r="C3627" s="89">
        <v>12476262</v>
      </c>
      <c r="D3627" s="89" t="s">
        <v>663</v>
      </c>
    </row>
    <row r="3628" spans="1:4" x14ac:dyDescent="0.25">
      <c r="A3628" s="89" t="s">
        <v>80</v>
      </c>
      <c r="B3628" s="89" t="s">
        <v>617</v>
      </c>
      <c r="C3628" s="89">
        <v>2920496.55</v>
      </c>
      <c r="D3628" s="89" t="s">
        <v>664</v>
      </c>
    </row>
    <row r="3629" spans="1:4" x14ac:dyDescent="0.25">
      <c r="A3629" s="89" t="s">
        <v>80</v>
      </c>
      <c r="B3629" s="89" t="s">
        <v>617</v>
      </c>
      <c r="C3629" s="89">
        <v>1285351.17</v>
      </c>
      <c r="D3629" s="89" t="s">
        <v>663</v>
      </c>
    </row>
    <row r="3630" spans="1:4" x14ac:dyDescent="0.25">
      <c r="A3630" s="89" t="s">
        <v>80</v>
      </c>
      <c r="B3630" s="89" t="s">
        <v>617</v>
      </c>
      <c r="C3630" s="89">
        <v>1000000</v>
      </c>
      <c r="D3630" s="89" t="s">
        <v>663</v>
      </c>
    </row>
    <row r="3631" spans="1:4" x14ac:dyDescent="0.25">
      <c r="A3631" s="89" t="s">
        <v>80</v>
      </c>
      <c r="B3631" s="89" t="s">
        <v>617</v>
      </c>
      <c r="C3631" s="89">
        <v>11308854</v>
      </c>
      <c r="D3631" s="89" t="s">
        <v>663</v>
      </c>
    </row>
    <row r="3632" spans="1:4" x14ac:dyDescent="0.25">
      <c r="A3632" s="89" t="s">
        <v>80</v>
      </c>
      <c r="B3632" s="89" t="s">
        <v>617</v>
      </c>
      <c r="C3632" s="89">
        <v>2955924</v>
      </c>
      <c r="D3632" s="89" t="s">
        <v>664</v>
      </c>
    </row>
    <row r="3633" spans="1:4" x14ac:dyDescent="0.25">
      <c r="A3633" s="89" t="s">
        <v>80</v>
      </c>
      <c r="B3633" s="89" t="s">
        <v>617</v>
      </c>
      <c r="C3633" s="89">
        <v>1000000</v>
      </c>
      <c r="D3633" s="89" t="s">
        <v>663</v>
      </c>
    </row>
    <row r="3634" spans="1:4" x14ac:dyDescent="0.25">
      <c r="A3634" s="89" t="s">
        <v>80</v>
      </c>
      <c r="B3634" s="89" t="s">
        <v>617</v>
      </c>
      <c r="C3634" s="89">
        <v>2044113</v>
      </c>
      <c r="D3634" s="89" t="s">
        <v>663</v>
      </c>
    </row>
    <row r="3635" spans="1:4" x14ac:dyDescent="0.25">
      <c r="A3635" s="89" t="s">
        <v>80</v>
      </c>
      <c r="B3635" s="89" t="s">
        <v>617</v>
      </c>
      <c r="C3635" s="89">
        <v>5794450</v>
      </c>
      <c r="D3635" s="89" t="s">
        <v>664</v>
      </c>
    </row>
    <row r="3636" spans="1:4" x14ac:dyDescent="0.25">
      <c r="A3636" s="89" t="s">
        <v>80</v>
      </c>
      <c r="B3636" s="89" t="s">
        <v>617</v>
      </c>
      <c r="C3636" s="89">
        <v>2617918</v>
      </c>
      <c r="D3636" s="89" t="s">
        <v>663</v>
      </c>
    </row>
    <row r="3637" spans="1:4" x14ac:dyDescent="0.25">
      <c r="A3637" s="89" t="s">
        <v>80</v>
      </c>
      <c r="B3637" s="89" t="s">
        <v>617</v>
      </c>
      <c r="C3637" s="89">
        <v>8180949.4900000002</v>
      </c>
      <c r="D3637" s="89" t="s">
        <v>663</v>
      </c>
    </row>
    <row r="3638" spans="1:4" x14ac:dyDescent="0.25">
      <c r="A3638" s="89" t="s">
        <v>80</v>
      </c>
      <c r="B3638" s="89" t="s">
        <v>617</v>
      </c>
      <c r="C3638" s="89">
        <v>8068267.75</v>
      </c>
      <c r="D3638" s="89" t="s">
        <v>663</v>
      </c>
    </row>
    <row r="3639" spans="1:4" x14ac:dyDescent="0.25">
      <c r="A3639" s="89" t="s">
        <v>80</v>
      </c>
      <c r="B3639" s="89" t="s">
        <v>617</v>
      </c>
      <c r="C3639" s="89">
        <v>2385245.15</v>
      </c>
      <c r="D3639" s="89" t="s">
        <v>664</v>
      </c>
    </row>
    <row r="3640" spans="1:4" x14ac:dyDescent="0.25">
      <c r="A3640" s="89" t="s">
        <v>80</v>
      </c>
      <c r="B3640" s="89" t="s">
        <v>617</v>
      </c>
      <c r="C3640" s="89">
        <v>520865.47</v>
      </c>
      <c r="D3640" s="89" t="s">
        <v>664</v>
      </c>
    </row>
    <row r="3641" spans="1:4" x14ac:dyDescent="0.25">
      <c r="A3641" s="89" t="s">
        <v>80</v>
      </c>
      <c r="B3641" s="89" t="s">
        <v>617</v>
      </c>
      <c r="C3641" s="89">
        <v>9717456.4199999999</v>
      </c>
      <c r="D3641" s="89" t="s">
        <v>663</v>
      </c>
    </row>
    <row r="3642" spans="1:4" x14ac:dyDescent="0.25">
      <c r="A3642" s="89" t="s">
        <v>80</v>
      </c>
      <c r="B3642" s="89" t="s">
        <v>617</v>
      </c>
      <c r="C3642" s="89">
        <v>5900000</v>
      </c>
      <c r="D3642" s="89" t="s">
        <v>663</v>
      </c>
    </row>
    <row r="3643" spans="1:4" x14ac:dyDescent="0.25">
      <c r="A3643" s="89" t="s">
        <v>80</v>
      </c>
      <c r="B3643" s="89" t="s">
        <v>617</v>
      </c>
      <c r="C3643" s="89">
        <v>4944000</v>
      </c>
      <c r="D3643" s="89" t="s">
        <v>664</v>
      </c>
    </row>
    <row r="3644" spans="1:4" x14ac:dyDescent="0.25">
      <c r="A3644" s="89" t="s">
        <v>80</v>
      </c>
      <c r="B3644" s="89" t="s">
        <v>617</v>
      </c>
      <c r="C3644" s="89">
        <v>762000</v>
      </c>
      <c r="D3644" s="89" t="s">
        <v>664</v>
      </c>
    </row>
    <row r="3645" spans="1:4" x14ac:dyDescent="0.25">
      <c r="A3645" s="89" t="s">
        <v>80</v>
      </c>
      <c r="B3645" s="89" t="s">
        <v>617</v>
      </c>
      <c r="C3645" s="89">
        <v>1662455.78</v>
      </c>
      <c r="D3645" s="89" t="s">
        <v>666</v>
      </c>
    </row>
    <row r="3646" spans="1:4" x14ac:dyDescent="0.25">
      <c r="A3646" s="89" t="s">
        <v>80</v>
      </c>
      <c r="B3646" s="89" t="s">
        <v>617</v>
      </c>
      <c r="C3646" s="89">
        <v>12550936</v>
      </c>
      <c r="D3646" s="89" t="s">
        <v>663</v>
      </c>
    </row>
    <row r="3647" spans="1:4" x14ac:dyDescent="0.25">
      <c r="A3647" s="89" t="s">
        <v>80</v>
      </c>
      <c r="B3647" s="89" t="s">
        <v>617</v>
      </c>
      <c r="C3647" s="89">
        <v>40990347.140000001</v>
      </c>
      <c r="D3647" s="89" t="s">
        <v>663</v>
      </c>
    </row>
    <row r="3648" spans="1:4" x14ac:dyDescent="0.25">
      <c r="A3648" s="89" t="s">
        <v>80</v>
      </c>
      <c r="B3648" s="89" t="s">
        <v>617</v>
      </c>
      <c r="C3648" s="89">
        <v>13525578.07</v>
      </c>
      <c r="D3648" s="89" t="s">
        <v>664</v>
      </c>
    </row>
    <row r="3649" spans="1:4" x14ac:dyDescent="0.25">
      <c r="A3649" s="89" t="s">
        <v>80</v>
      </c>
      <c r="B3649" s="89" t="s">
        <v>617</v>
      </c>
      <c r="C3649" s="89">
        <v>6207090.1299999999</v>
      </c>
      <c r="D3649" s="89" t="s">
        <v>664</v>
      </c>
    </row>
    <row r="3650" spans="1:4" x14ac:dyDescent="0.25">
      <c r="A3650" s="89" t="s">
        <v>80</v>
      </c>
      <c r="B3650" s="89" t="s">
        <v>617</v>
      </c>
      <c r="C3650" s="89">
        <v>1180972.3999999999</v>
      </c>
      <c r="D3650" s="89" t="s">
        <v>666</v>
      </c>
    </row>
    <row r="3651" spans="1:4" x14ac:dyDescent="0.25">
      <c r="A3651" s="89" t="s">
        <v>80</v>
      </c>
      <c r="B3651" s="89" t="s">
        <v>617</v>
      </c>
      <c r="C3651" s="89">
        <v>10972136.970000001</v>
      </c>
      <c r="D3651" s="89" t="s">
        <v>663</v>
      </c>
    </row>
    <row r="3652" spans="1:4" x14ac:dyDescent="0.25">
      <c r="A3652" s="89" t="s">
        <v>80</v>
      </c>
      <c r="B3652" s="89" t="s">
        <v>617</v>
      </c>
      <c r="C3652" s="89">
        <v>6573320.1500000004</v>
      </c>
      <c r="D3652" s="89" t="s">
        <v>664</v>
      </c>
    </row>
    <row r="3653" spans="1:4" x14ac:dyDescent="0.25">
      <c r="A3653" s="89" t="s">
        <v>80</v>
      </c>
      <c r="B3653" s="89" t="s">
        <v>617</v>
      </c>
      <c r="C3653" s="89">
        <v>2542542.04</v>
      </c>
      <c r="D3653" s="89" t="s">
        <v>664</v>
      </c>
    </row>
    <row r="3654" spans="1:4" x14ac:dyDescent="0.25">
      <c r="A3654" s="89" t="s">
        <v>80</v>
      </c>
      <c r="B3654" s="89" t="s">
        <v>617</v>
      </c>
      <c r="C3654" s="89">
        <v>752584.01</v>
      </c>
      <c r="D3654" s="89" t="s">
        <v>664</v>
      </c>
    </row>
    <row r="3655" spans="1:4" x14ac:dyDescent="0.25">
      <c r="A3655" s="89" t="s">
        <v>682</v>
      </c>
      <c r="C3655" s="89">
        <v>1963942.69</v>
      </c>
      <c r="D3655" s="89" t="s">
        <v>664</v>
      </c>
    </row>
    <row r="3656" spans="1:4" x14ac:dyDescent="0.25">
      <c r="A3656" s="89" t="s">
        <v>682</v>
      </c>
      <c r="C3656" s="89">
        <v>3624757.73</v>
      </c>
      <c r="D3656" s="89" t="s">
        <v>664</v>
      </c>
    </row>
    <row r="3657" spans="1:4" x14ac:dyDescent="0.25">
      <c r="A3657" s="89" t="s">
        <v>682</v>
      </c>
      <c r="C3657" s="89">
        <v>697182.22</v>
      </c>
      <c r="D3657" s="89" t="s">
        <v>664</v>
      </c>
    </row>
    <row r="3658" spans="1:4" x14ac:dyDescent="0.25">
      <c r="A3658" s="89" t="s">
        <v>682</v>
      </c>
      <c r="C3658" s="89">
        <v>2919626.73</v>
      </c>
      <c r="D3658" s="89" t="s">
        <v>664</v>
      </c>
    </row>
    <row r="3659" spans="1:4" x14ac:dyDescent="0.25">
      <c r="A3659" s="89" t="s">
        <v>682</v>
      </c>
      <c r="C3659" s="89">
        <v>2667192.11</v>
      </c>
      <c r="D3659" s="89" t="s">
        <v>664</v>
      </c>
    </row>
    <row r="3660" spans="1:4" x14ac:dyDescent="0.25">
      <c r="A3660" s="89" t="s">
        <v>682</v>
      </c>
      <c r="C3660" s="89">
        <v>2024851.16</v>
      </c>
      <c r="D3660" s="89" t="s">
        <v>664</v>
      </c>
    </row>
    <row r="3661" spans="1:4" x14ac:dyDescent="0.25">
      <c r="A3661" s="89" t="s">
        <v>682</v>
      </c>
      <c r="C3661" s="89">
        <v>2286504.08</v>
      </c>
      <c r="D3661" s="89" t="s">
        <v>664</v>
      </c>
    </row>
    <row r="3662" spans="1:4" x14ac:dyDescent="0.25">
      <c r="A3662" s="89" t="s">
        <v>682</v>
      </c>
      <c r="C3662" s="89">
        <v>1164896</v>
      </c>
      <c r="D3662" s="89" t="s">
        <v>664</v>
      </c>
    </row>
    <row r="3663" spans="1:4" x14ac:dyDescent="0.25">
      <c r="A3663" s="89" t="s">
        <v>682</v>
      </c>
      <c r="C3663" s="89">
        <v>182753.83</v>
      </c>
      <c r="D3663" s="89" t="s">
        <v>664</v>
      </c>
    </row>
    <row r="3664" spans="1:4" x14ac:dyDescent="0.25">
      <c r="A3664" s="89" t="s">
        <v>682</v>
      </c>
      <c r="C3664" s="89">
        <v>1624911.94</v>
      </c>
      <c r="D3664" s="89" t="s">
        <v>664</v>
      </c>
    </row>
    <row r="3665" spans="1:4" x14ac:dyDescent="0.25">
      <c r="A3665" s="89" t="s">
        <v>682</v>
      </c>
      <c r="C3665" s="89">
        <v>4436028</v>
      </c>
      <c r="D3665" s="89" t="s">
        <v>664</v>
      </c>
    </row>
    <row r="3666" spans="1:4" x14ac:dyDescent="0.25">
      <c r="A3666" s="89" t="s">
        <v>682</v>
      </c>
      <c r="C3666" s="89">
        <v>2092816.57</v>
      </c>
      <c r="D3666" s="89" t="s">
        <v>664</v>
      </c>
    </row>
    <row r="3667" spans="1:4" x14ac:dyDescent="0.25">
      <c r="A3667" s="89" t="s">
        <v>682</v>
      </c>
      <c r="C3667" s="89">
        <v>391891.3</v>
      </c>
      <c r="D3667" s="89" t="s">
        <v>664</v>
      </c>
    </row>
    <row r="3668" spans="1:4" x14ac:dyDescent="0.25">
      <c r="A3668" s="89" t="s">
        <v>682</v>
      </c>
      <c r="C3668" s="89">
        <v>507527.75</v>
      </c>
      <c r="D3668" s="89" t="s">
        <v>664</v>
      </c>
    </row>
    <row r="3669" spans="1:4" x14ac:dyDescent="0.25">
      <c r="A3669" s="89" t="s">
        <v>682</v>
      </c>
      <c r="C3669" s="89">
        <v>1240118.1599999999</v>
      </c>
      <c r="D3669" s="89" t="s">
        <v>664</v>
      </c>
    </row>
    <row r="3670" spans="1:4" x14ac:dyDescent="0.25">
      <c r="A3670" s="89" t="s">
        <v>682</v>
      </c>
      <c r="C3670" s="89">
        <v>2160782</v>
      </c>
      <c r="D3670" s="89" t="s">
        <v>664</v>
      </c>
    </row>
    <row r="3671" spans="1:4" x14ac:dyDescent="0.25">
      <c r="A3671" s="89" t="s">
        <v>682</v>
      </c>
      <c r="C3671" s="89">
        <v>1087399.22</v>
      </c>
      <c r="D3671" s="89" t="s">
        <v>664</v>
      </c>
    </row>
    <row r="3672" spans="1:4" x14ac:dyDescent="0.25">
      <c r="A3672" s="89" t="s">
        <v>682</v>
      </c>
      <c r="C3672" s="89">
        <v>705110.04</v>
      </c>
      <c r="D3672" s="89" t="s">
        <v>664</v>
      </c>
    </row>
    <row r="3673" spans="1:4" x14ac:dyDescent="0.25">
      <c r="A3673" s="89" t="s">
        <v>682</v>
      </c>
      <c r="C3673" s="89">
        <v>3608894.41</v>
      </c>
      <c r="D3673" s="89" t="s">
        <v>664</v>
      </c>
    </row>
    <row r="3674" spans="1:4" x14ac:dyDescent="0.25">
      <c r="A3674" s="89" t="s">
        <v>682</v>
      </c>
      <c r="C3674" s="89">
        <v>787530.81</v>
      </c>
      <c r="D3674" s="89" t="s">
        <v>664</v>
      </c>
    </row>
    <row r="3675" spans="1:4" x14ac:dyDescent="0.25">
      <c r="A3675" s="89" t="s">
        <v>681</v>
      </c>
      <c r="C3675" s="89">
        <v>2083742</v>
      </c>
      <c r="D3675" s="89" t="s">
        <v>663</v>
      </c>
    </row>
    <row r="3676" spans="1:4" x14ac:dyDescent="0.25">
      <c r="A3676" s="89" t="s">
        <v>680</v>
      </c>
      <c r="C3676" s="89">
        <v>577432.11</v>
      </c>
      <c r="D3676" s="89" t="s">
        <v>663</v>
      </c>
    </row>
    <row r="3677" spans="1:4" x14ac:dyDescent="0.25">
      <c r="A3677" s="89" t="s">
        <v>680</v>
      </c>
      <c r="C3677" s="89">
        <v>343435.74</v>
      </c>
      <c r="D3677" s="89" t="s">
        <v>663</v>
      </c>
    </row>
    <row r="3678" spans="1:4" x14ac:dyDescent="0.25">
      <c r="A3678" s="89" t="s">
        <v>680</v>
      </c>
      <c r="C3678" s="89">
        <v>400108.5</v>
      </c>
      <c r="D3678" s="89" t="s">
        <v>663</v>
      </c>
    </row>
    <row r="3679" spans="1:4" x14ac:dyDescent="0.25">
      <c r="A3679" s="89" t="s">
        <v>680</v>
      </c>
      <c r="C3679" s="89">
        <v>5855434</v>
      </c>
      <c r="D3679" s="89" t="s">
        <v>663</v>
      </c>
    </row>
    <row r="3680" spans="1:4" x14ac:dyDescent="0.25">
      <c r="A3680" s="89" t="s">
        <v>680</v>
      </c>
      <c r="C3680" s="89">
        <v>231499.2</v>
      </c>
      <c r="D3680" s="89" t="s">
        <v>663</v>
      </c>
    </row>
    <row r="3681" spans="1:4" x14ac:dyDescent="0.25">
      <c r="A3681" s="89" t="s">
        <v>680</v>
      </c>
      <c r="C3681" s="89">
        <v>54081.599999999999</v>
      </c>
      <c r="D3681" s="89" t="s">
        <v>663</v>
      </c>
    </row>
    <row r="3682" spans="1:4" x14ac:dyDescent="0.25">
      <c r="A3682" s="89" t="s">
        <v>680</v>
      </c>
      <c r="C3682" s="89">
        <v>232179.49</v>
      </c>
      <c r="D3682" s="89" t="s">
        <v>663</v>
      </c>
    </row>
    <row r="3683" spans="1:4" x14ac:dyDescent="0.25">
      <c r="A3683" s="89" t="s">
        <v>680</v>
      </c>
      <c r="C3683" s="89">
        <v>324993.13</v>
      </c>
      <c r="D3683" s="89" t="s">
        <v>663</v>
      </c>
    </row>
    <row r="3684" spans="1:4" x14ac:dyDescent="0.25">
      <c r="A3684" s="89" t="s">
        <v>680</v>
      </c>
      <c r="C3684" s="89">
        <v>4680.1899999999996</v>
      </c>
      <c r="D3684" s="89" t="s">
        <v>663</v>
      </c>
    </row>
    <row r="3685" spans="1:4" x14ac:dyDescent="0.25">
      <c r="A3685" s="89" t="s">
        <v>680</v>
      </c>
      <c r="C3685" s="89">
        <v>3585991</v>
      </c>
      <c r="D3685" s="89" t="s">
        <v>663</v>
      </c>
    </row>
    <row r="3686" spans="1:4" x14ac:dyDescent="0.25">
      <c r="A3686" s="89" t="s">
        <v>680</v>
      </c>
      <c r="C3686" s="89">
        <v>5287648.34</v>
      </c>
      <c r="D3686" s="89" t="s">
        <v>663</v>
      </c>
    </row>
    <row r="3687" spans="1:4" x14ac:dyDescent="0.25">
      <c r="A3687" s="89" t="s">
        <v>680</v>
      </c>
      <c r="C3687" s="89">
        <v>2270485</v>
      </c>
      <c r="D3687" s="89" t="s">
        <v>663</v>
      </c>
    </row>
    <row r="3688" spans="1:4" x14ac:dyDescent="0.25">
      <c r="A3688" s="89" t="s">
        <v>680</v>
      </c>
      <c r="C3688" s="89">
        <v>859671.2</v>
      </c>
      <c r="D3688" s="89" t="s">
        <v>663</v>
      </c>
    </row>
    <row r="3689" spans="1:4" x14ac:dyDescent="0.25">
      <c r="A3689" s="89" t="s">
        <v>680</v>
      </c>
      <c r="C3689" s="89">
        <v>3576906.16</v>
      </c>
      <c r="D3689" s="89" t="s">
        <v>663</v>
      </c>
    </row>
    <row r="3690" spans="1:4" x14ac:dyDescent="0.25">
      <c r="A3690" s="89" t="s">
        <v>679</v>
      </c>
      <c r="C3690" s="89">
        <v>823758</v>
      </c>
      <c r="D3690" s="89" t="s">
        <v>664</v>
      </c>
    </row>
    <row r="3691" spans="1:4" x14ac:dyDescent="0.25">
      <c r="A3691" s="89" t="s">
        <v>679</v>
      </c>
      <c r="C3691" s="89">
        <v>828508</v>
      </c>
      <c r="D3691" s="89" t="s">
        <v>664</v>
      </c>
    </row>
    <row r="3692" spans="1:4" x14ac:dyDescent="0.25">
      <c r="A3692" s="89" t="s">
        <v>679</v>
      </c>
      <c r="C3692" s="89">
        <v>2252281</v>
      </c>
      <c r="D3692" s="89" t="s">
        <v>664</v>
      </c>
    </row>
    <row r="3693" spans="1:4" x14ac:dyDescent="0.25">
      <c r="A3693" s="89" t="s">
        <v>679</v>
      </c>
      <c r="C3693" s="89">
        <v>2417371</v>
      </c>
      <c r="D3693" s="89" t="s">
        <v>664</v>
      </c>
    </row>
    <row r="3694" spans="1:4" x14ac:dyDescent="0.25">
      <c r="A3694" s="89" t="s">
        <v>679</v>
      </c>
      <c r="C3694" s="89">
        <v>1020621</v>
      </c>
      <c r="D3694" s="89" t="s">
        <v>664</v>
      </c>
    </row>
    <row r="3695" spans="1:4" x14ac:dyDescent="0.25">
      <c r="A3695" s="89" t="s">
        <v>679</v>
      </c>
      <c r="C3695" s="89">
        <v>588664</v>
      </c>
      <c r="D3695" s="89" t="s">
        <v>664</v>
      </c>
    </row>
    <row r="3696" spans="1:4" x14ac:dyDescent="0.25">
      <c r="A3696" s="89" t="s">
        <v>679</v>
      </c>
      <c r="C3696" s="89">
        <v>4063513</v>
      </c>
      <c r="D3696" s="89" t="s">
        <v>664</v>
      </c>
    </row>
    <row r="3697" spans="1:4" x14ac:dyDescent="0.25">
      <c r="A3697" s="89" t="s">
        <v>679</v>
      </c>
      <c r="C3697" s="89">
        <v>3355504</v>
      </c>
      <c r="D3697" s="89" t="s">
        <v>664</v>
      </c>
    </row>
    <row r="3698" spans="1:4" x14ac:dyDescent="0.25">
      <c r="A3698" s="89" t="s">
        <v>679</v>
      </c>
      <c r="C3698" s="89">
        <v>1263401</v>
      </c>
      <c r="D3698" s="89" t="s">
        <v>664</v>
      </c>
    </row>
    <row r="3699" spans="1:4" x14ac:dyDescent="0.25">
      <c r="A3699" s="89" t="s">
        <v>679</v>
      </c>
      <c r="C3699" s="89">
        <v>-700000</v>
      </c>
      <c r="D3699" s="89" t="s">
        <v>664</v>
      </c>
    </row>
    <row r="3700" spans="1:4" x14ac:dyDescent="0.25">
      <c r="A3700" s="89" t="s">
        <v>679</v>
      </c>
      <c r="C3700" s="89">
        <v>1997652</v>
      </c>
      <c r="D3700" s="89" t="s">
        <v>664</v>
      </c>
    </row>
    <row r="3701" spans="1:4" x14ac:dyDescent="0.25">
      <c r="A3701" s="89" t="s">
        <v>679</v>
      </c>
      <c r="C3701" s="89">
        <v>1795752</v>
      </c>
      <c r="D3701" s="89" t="s">
        <v>664</v>
      </c>
    </row>
    <row r="3702" spans="1:4" x14ac:dyDescent="0.25">
      <c r="A3702" s="89" t="s">
        <v>679</v>
      </c>
      <c r="C3702" s="89">
        <v>1696000</v>
      </c>
      <c r="D3702" s="89" t="s">
        <v>664</v>
      </c>
    </row>
    <row r="3703" spans="1:4" x14ac:dyDescent="0.25">
      <c r="A3703" s="89" t="s">
        <v>679</v>
      </c>
      <c r="C3703" s="89">
        <v>1433132</v>
      </c>
      <c r="D3703" s="89" t="s">
        <v>664</v>
      </c>
    </row>
    <row r="3704" spans="1:4" x14ac:dyDescent="0.25">
      <c r="A3704" s="89" t="s">
        <v>679</v>
      </c>
      <c r="C3704" s="89">
        <v>1080206</v>
      </c>
      <c r="D3704" s="89" t="s">
        <v>664</v>
      </c>
    </row>
    <row r="3705" spans="1:4" x14ac:dyDescent="0.25">
      <c r="A3705" s="89" t="s">
        <v>678</v>
      </c>
      <c r="C3705" s="89">
        <v>587356</v>
      </c>
      <c r="D3705" s="89" t="s">
        <v>663</v>
      </c>
    </row>
    <row r="3706" spans="1:4" x14ac:dyDescent="0.25">
      <c r="A3706" s="89" t="s">
        <v>678</v>
      </c>
      <c r="C3706" s="89">
        <v>2188108</v>
      </c>
      <c r="D3706" s="89" t="s">
        <v>663</v>
      </c>
    </row>
    <row r="3707" spans="1:4" x14ac:dyDescent="0.25">
      <c r="A3707" s="89" t="s">
        <v>678</v>
      </c>
      <c r="C3707" s="89">
        <v>295000</v>
      </c>
      <c r="D3707" s="89" t="s">
        <v>663</v>
      </c>
    </row>
    <row r="3708" spans="1:4" x14ac:dyDescent="0.25">
      <c r="A3708" s="89" t="s">
        <v>678</v>
      </c>
      <c r="C3708" s="89">
        <v>751120</v>
      </c>
      <c r="D3708" s="89" t="s">
        <v>663</v>
      </c>
    </row>
    <row r="3709" spans="1:4" x14ac:dyDescent="0.25">
      <c r="A3709" s="89" t="s">
        <v>678</v>
      </c>
      <c r="C3709" s="89">
        <v>207040</v>
      </c>
      <c r="D3709" s="89" t="s">
        <v>663</v>
      </c>
    </row>
    <row r="3710" spans="1:4" x14ac:dyDescent="0.25">
      <c r="A3710" s="89" t="s">
        <v>678</v>
      </c>
      <c r="C3710" s="89">
        <v>807892</v>
      </c>
      <c r="D3710" s="89" t="s">
        <v>663</v>
      </c>
    </row>
    <row r="3711" spans="1:4" x14ac:dyDescent="0.25">
      <c r="A3711" s="89" t="s">
        <v>678</v>
      </c>
      <c r="C3711" s="89">
        <v>1636507</v>
      </c>
      <c r="D3711" s="89" t="s">
        <v>663</v>
      </c>
    </row>
    <row r="3712" spans="1:4" x14ac:dyDescent="0.25">
      <c r="A3712" s="89" t="s">
        <v>678</v>
      </c>
      <c r="C3712" s="89">
        <v>-791093.5</v>
      </c>
      <c r="D3712" s="89" t="s">
        <v>663</v>
      </c>
    </row>
    <row r="3713" spans="1:4" x14ac:dyDescent="0.25">
      <c r="A3713" s="89" t="s">
        <v>678</v>
      </c>
      <c r="C3713" s="89">
        <v>1741628</v>
      </c>
      <c r="D3713" s="89" t="s">
        <v>663</v>
      </c>
    </row>
    <row r="3714" spans="1:4" x14ac:dyDescent="0.25">
      <c r="A3714" s="89" t="s">
        <v>678</v>
      </c>
      <c r="C3714" s="89">
        <v>537688</v>
      </c>
      <c r="D3714" s="89" t="s">
        <v>663</v>
      </c>
    </row>
    <row r="3715" spans="1:4" x14ac:dyDescent="0.25">
      <c r="A3715" s="89" t="s">
        <v>678</v>
      </c>
      <c r="C3715" s="89">
        <v>1241228</v>
      </c>
      <c r="D3715" s="89" t="s">
        <v>663</v>
      </c>
    </row>
    <row r="3716" spans="1:4" x14ac:dyDescent="0.25">
      <c r="A3716" s="89" t="s">
        <v>678</v>
      </c>
      <c r="C3716" s="89">
        <v>1118183</v>
      </c>
      <c r="D3716" s="89" t="s">
        <v>663</v>
      </c>
    </row>
    <row r="3717" spans="1:4" x14ac:dyDescent="0.25">
      <c r="A3717" s="89" t="s">
        <v>678</v>
      </c>
      <c r="C3717" s="89">
        <v>3968914</v>
      </c>
      <c r="D3717" s="89" t="s">
        <v>663</v>
      </c>
    </row>
    <row r="3718" spans="1:4" x14ac:dyDescent="0.25">
      <c r="A3718" s="89" t="s">
        <v>678</v>
      </c>
      <c r="C3718" s="89">
        <v>-3924.02</v>
      </c>
      <c r="D3718" s="89" t="s">
        <v>663</v>
      </c>
    </row>
    <row r="3719" spans="1:4" x14ac:dyDescent="0.25">
      <c r="A3719" s="89" t="s">
        <v>677</v>
      </c>
      <c r="C3719" s="89">
        <v>1854468</v>
      </c>
      <c r="D3719" s="89" t="s">
        <v>663</v>
      </c>
    </row>
    <row r="3720" spans="1:4" x14ac:dyDescent="0.25">
      <c r="A3720" s="89" t="s">
        <v>676</v>
      </c>
      <c r="C3720" s="89">
        <v>778587</v>
      </c>
      <c r="D3720" s="89" t="s">
        <v>663</v>
      </c>
    </row>
    <row r="3721" spans="1:4" x14ac:dyDescent="0.25">
      <c r="A3721" s="89" t="s">
        <v>676</v>
      </c>
      <c r="C3721" s="89">
        <v>488757</v>
      </c>
      <c r="D3721" s="89" t="s">
        <v>663</v>
      </c>
    </row>
    <row r="3722" spans="1:4" x14ac:dyDescent="0.25">
      <c r="A3722" s="89" t="s">
        <v>676</v>
      </c>
      <c r="C3722" s="89">
        <v>-17069.310000000001</v>
      </c>
      <c r="D3722" s="89" t="s">
        <v>663</v>
      </c>
    </row>
    <row r="3723" spans="1:4" x14ac:dyDescent="0.25">
      <c r="A3723" s="89" t="s">
        <v>676</v>
      </c>
      <c r="C3723" s="89">
        <v>176036</v>
      </c>
      <c r="D3723" s="89" t="s">
        <v>663</v>
      </c>
    </row>
    <row r="3724" spans="1:4" x14ac:dyDescent="0.25">
      <c r="A3724" s="89" t="s">
        <v>676</v>
      </c>
      <c r="C3724" s="89">
        <v>175825.91</v>
      </c>
      <c r="D3724" s="89" t="s">
        <v>663</v>
      </c>
    </row>
    <row r="3725" spans="1:4" x14ac:dyDescent="0.25">
      <c r="A3725" s="89" t="s">
        <v>676</v>
      </c>
      <c r="C3725" s="89">
        <v>177407</v>
      </c>
      <c r="D3725" s="89" t="s">
        <v>663</v>
      </c>
    </row>
    <row r="3726" spans="1:4" x14ac:dyDescent="0.25">
      <c r="A3726" s="89" t="s">
        <v>676</v>
      </c>
      <c r="C3726" s="89">
        <v>186461</v>
      </c>
      <c r="D3726" s="89" t="s">
        <v>663</v>
      </c>
    </row>
    <row r="3727" spans="1:4" x14ac:dyDescent="0.25">
      <c r="A3727" s="89" t="s">
        <v>676</v>
      </c>
      <c r="C3727" s="89">
        <v>268314</v>
      </c>
      <c r="D3727" s="89" t="s">
        <v>663</v>
      </c>
    </row>
    <row r="3728" spans="1:4" x14ac:dyDescent="0.25">
      <c r="A3728" s="89" t="s">
        <v>676</v>
      </c>
      <c r="C3728" s="89">
        <v>326506</v>
      </c>
      <c r="D3728" s="89" t="s">
        <v>663</v>
      </c>
    </row>
    <row r="3729" spans="1:4" x14ac:dyDescent="0.25">
      <c r="A3729" s="89" t="s">
        <v>675</v>
      </c>
      <c r="C3729" s="89">
        <v>494087</v>
      </c>
      <c r="D3729" s="89" t="s">
        <v>663</v>
      </c>
    </row>
    <row r="3730" spans="1:4" x14ac:dyDescent="0.25">
      <c r="A3730" s="89" t="s">
        <v>675</v>
      </c>
      <c r="C3730" s="89">
        <v>255897</v>
      </c>
      <c r="D3730" s="89" t="s">
        <v>663</v>
      </c>
    </row>
    <row r="3731" spans="1:4" x14ac:dyDescent="0.25">
      <c r="A3731" s="89" t="s">
        <v>675</v>
      </c>
      <c r="C3731" s="89">
        <v>356691</v>
      </c>
      <c r="D3731" s="89" t="s">
        <v>663</v>
      </c>
    </row>
    <row r="3732" spans="1:4" x14ac:dyDescent="0.25">
      <c r="A3732" s="89" t="s">
        <v>675</v>
      </c>
      <c r="C3732" s="89">
        <v>341685</v>
      </c>
      <c r="D3732" s="89" t="s">
        <v>663</v>
      </c>
    </row>
    <row r="3733" spans="1:4" x14ac:dyDescent="0.25">
      <c r="A3733" s="89" t="s">
        <v>675</v>
      </c>
      <c r="C3733" s="89">
        <v>632244</v>
      </c>
      <c r="D3733" s="89" t="s">
        <v>663</v>
      </c>
    </row>
    <row r="3734" spans="1:4" x14ac:dyDescent="0.25">
      <c r="A3734" s="89" t="s">
        <v>675</v>
      </c>
      <c r="C3734" s="89">
        <v>259297</v>
      </c>
      <c r="D3734" s="89" t="s">
        <v>663</v>
      </c>
    </row>
    <row r="3735" spans="1:4" x14ac:dyDescent="0.25">
      <c r="A3735" s="89" t="s">
        <v>675</v>
      </c>
      <c r="C3735" s="89">
        <v>912897</v>
      </c>
      <c r="D3735" s="89" t="s">
        <v>663</v>
      </c>
    </row>
    <row r="3736" spans="1:4" x14ac:dyDescent="0.25">
      <c r="A3736" s="89" t="s">
        <v>675</v>
      </c>
      <c r="C3736" s="89">
        <v>523415</v>
      </c>
      <c r="D3736" s="89" t="s">
        <v>663</v>
      </c>
    </row>
    <row r="3737" spans="1:4" x14ac:dyDescent="0.25">
      <c r="A3737" s="89" t="s">
        <v>675</v>
      </c>
      <c r="C3737" s="89">
        <v>204462</v>
      </c>
      <c r="D3737" s="89" t="s">
        <v>663</v>
      </c>
    </row>
    <row r="3738" spans="1:4" x14ac:dyDescent="0.25">
      <c r="A3738" s="89" t="s">
        <v>674</v>
      </c>
      <c r="C3738" s="89">
        <v>721624</v>
      </c>
      <c r="D3738" s="89" t="s">
        <v>663</v>
      </c>
    </row>
    <row r="3739" spans="1:4" x14ac:dyDescent="0.25">
      <c r="A3739" s="89" t="s">
        <v>674</v>
      </c>
      <c r="C3739" s="89">
        <v>510586</v>
      </c>
      <c r="D3739" s="89" t="s">
        <v>663</v>
      </c>
    </row>
    <row r="3740" spans="1:4" x14ac:dyDescent="0.25">
      <c r="A3740" s="89" t="s">
        <v>674</v>
      </c>
      <c r="C3740" s="89">
        <v>72000</v>
      </c>
      <c r="D3740" s="89" t="s">
        <v>663</v>
      </c>
    </row>
    <row r="3741" spans="1:4" x14ac:dyDescent="0.25">
      <c r="A3741" s="89" t="s">
        <v>674</v>
      </c>
      <c r="C3741" s="89">
        <v>734381</v>
      </c>
      <c r="D3741" s="89" t="s">
        <v>663</v>
      </c>
    </row>
    <row r="3742" spans="1:4" x14ac:dyDescent="0.25">
      <c r="A3742" s="89" t="s">
        <v>674</v>
      </c>
      <c r="C3742" s="89">
        <v>410343</v>
      </c>
      <c r="D3742" s="89" t="s">
        <v>663</v>
      </c>
    </row>
    <row r="3743" spans="1:4" x14ac:dyDescent="0.25">
      <c r="A3743" s="89" t="s">
        <v>674</v>
      </c>
      <c r="C3743" s="89">
        <v>1018510</v>
      </c>
      <c r="D3743" s="89" t="s">
        <v>663</v>
      </c>
    </row>
    <row r="3744" spans="1:4" x14ac:dyDescent="0.25">
      <c r="A3744" s="89" t="s">
        <v>674</v>
      </c>
      <c r="C3744" s="89">
        <v>1630240</v>
      </c>
      <c r="D3744" s="89" t="s">
        <v>663</v>
      </c>
    </row>
    <row r="3745" spans="1:4" x14ac:dyDescent="0.25">
      <c r="A3745" s="89" t="s">
        <v>674</v>
      </c>
      <c r="C3745" s="89">
        <v>304155.88</v>
      </c>
      <c r="D3745" s="89" t="s">
        <v>663</v>
      </c>
    </row>
    <row r="3746" spans="1:4" x14ac:dyDescent="0.25">
      <c r="A3746" s="89" t="s">
        <v>674</v>
      </c>
      <c r="C3746" s="89">
        <v>515270</v>
      </c>
      <c r="D3746" s="89" t="s">
        <v>663</v>
      </c>
    </row>
    <row r="3747" spans="1:4" x14ac:dyDescent="0.25">
      <c r="A3747" s="89" t="s">
        <v>674</v>
      </c>
      <c r="C3747" s="89">
        <v>206750</v>
      </c>
      <c r="D3747" s="89" t="s">
        <v>663</v>
      </c>
    </row>
    <row r="3748" spans="1:4" x14ac:dyDescent="0.25">
      <c r="A3748" s="89" t="s">
        <v>674</v>
      </c>
      <c r="C3748" s="89">
        <v>657789</v>
      </c>
      <c r="D3748" s="89" t="s">
        <v>663</v>
      </c>
    </row>
    <row r="3749" spans="1:4" x14ac:dyDescent="0.25">
      <c r="A3749" s="89" t="s">
        <v>674</v>
      </c>
      <c r="C3749" s="89">
        <v>232970</v>
      </c>
      <c r="D3749" s="89" t="s">
        <v>663</v>
      </c>
    </row>
    <row r="3750" spans="1:4" x14ac:dyDescent="0.25">
      <c r="A3750" s="89" t="s">
        <v>674</v>
      </c>
      <c r="C3750" s="89">
        <v>412948</v>
      </c>
      <c r="D3750" s="89" t="s">
        <v>663</v>
      </c>
    </row>
    <row r="3751" spans="1:4" x14ac:dyDescent="0.25">
      <c r="A3751" s="89" t="s">
        <v>674</v>
      </c>
      <c r="C3751" s="89">
        <v>947634</v>
      </c>
      <c r="D3751" s="89" t="s">
        <v>663</v>
      </c>
    </row>
    <row r="3752" spans="1:4" x14ac:dyDescent="0.25">
      <c r="A3752" s="89" t="s">
        <v>673</v>
      </c>
      <c r="C3752" s="89">
        <v>487434</v>
      </c>
      <c r="D3752" s="89" t="s">
        <v>663</v>
      </c>
    </row>
    <row r="3753" spans="1:4" x14ac:dyDescent="0.25">
      <c r="A3753" s="89" t="s">
        <v>673</v>
      </c>
      <c r="C3753" s="89">
        <v>311319</v>
      </c>
      <c r="D3753" s="89" t="s">
        <v>663</v>
      </c>
    </row>
    <row r="3754" spans="1:4" x14ac:dyDescent="0.25">
      <c r="A3754" s="89" t="s">
        <v>673</v>
      </c>
      <c r="C3754" s="89">
        <v>563646</v>
      </c>
      <c r="D3754" s="89" t="s">
        <v>663</v>
      </c>
    </row>
    <row r="3755" spans="1:4" x14ac:dyDescent="0.25">
      <c r="A3755" s="89" t="s">
        <v>673</v>
      </c>
      <c r="C3755" s="89">
        <v>585422</v>
      </c>
      <c r="D3755" s="89" t="s">
        <v>663</v>
      </c>
    </row>
    <row r="3756" spans="1:4" x14ac:dyDescent="0.25">
      <c r="A3756" s="89" t="s">
        <v>673</v>
      </c>
      <c r="C3756" s="89">
        <v>360301</v>
      </c>
      <c r="D3756" s="89" t="s">
        <v>663</v>
      </c>
    </row>
    <row r="3757" spans="1:4" x14ac:dyDescent="0.25">
      <c r="A3757" s="89" t="s">
        <v>673</v>
      </c>
      <c r="C3757" s="89">
        <v>580086</v>
      </c>
      <c r="D3757" s="89" t="s">
        <v>663</v>
      </c>
    </row>
    <row r="3758" spans="1:4" x14ac:dyDescent="0.25">
      <c r="A3758" s="89" t="s">
        <v>672</v>
      </c>
      <c r="C3758" s="89">
        <v>3845240</v>
      </c>
      <c r="D3758" s="89" t="s">
        <v>663</v>
      </c>
    </row>
    <row r="3759" spans="1:4" x14ac:dyDescent="0.25">
      <c r="A3759" s="89" t="s">
        <v>671</v>
      </c>
      <c r="C3759" s="89">
        <v>199362</v>
      </c>
      <c r="D3759" s="89" t="s">
        <v>664</v>
      </c>
    </row>
    <row r="3760" spans="1:4" x14ac:dyDescent="0.25">
      <c r="A3760" s="89" t="s">
        <v>671</v>
      </c>
      <c r="C3760" s="89">
        <v>382000</v>
      </c>
      <c r="D3760" s="89" t="s">
        <v>663</v>
      </c>
    </row>
    <row r="3761" spans="1:4" x14ac:dyDescent="0.25">
      <c r="A3761" s="89" t="s">
        <v>671</v>
      </c>
      <c r="C3761" s="89">
        <v>478294</v>
      </c>
      <c r="D3761" s="89" t="s">
        <v>666</v>
      </c>
    </row>
    <row r="3762" spans="1:4" x14ac:dyDescent="0.25">
      <c r="A3762" s="89" t="s">
        <v>671</v>
      </c>
      <c r="C3762" s="89">
        <v>629098</v>
      </c>
      <c r="D3762" s="89" t="s">
        <v>663</v>
      </c>
    </row>
    <row r="3763" spans="1:4" x14ac:dyDescent="0.25">
      <c r="A3763" s="89" t="s">
        <v>671</v>
      </c>
      <c r="C3763" s="89">
        <v>506926</v>
      </c>
      <c r="D3763" s="89" t="s">
        <v>664</v>
      </c>
    </row>
    <row r="3764" spans="1:4" x14ac:dyDescent="0.25">
      <c r="A3764" s="89" t="s">
        <v>671</v>
      </c>
      <c r="C3764" s="89">
        <v>1864523</v>
      </c>
      <c r="D3764" s="89" t="s">
        <v>664</v>
      </c>
    </row>
    <row r="3765" spans="1:4" x14ac:dyDescent="0.25">
      <c r="A3765" s="89" t="s">
        <v>671</v>
      </c>
      <c r="C3765" s="89">
        <v>220702</v>
      </c>
      <c r="D3765" s="89" t="s">
        <v>666</v>
      </c>
    </row>
    <row r="3766" spans="1:4" x14ac:dyDescent="0.25">
      <c r="A3766" s="89" t="s">
        <v>671</v>
      </c>
      <c r="C3766" s="89">
        <v>798320</v>
      </c>
      <c r="D3766" s="89" t="s">
        <v>664</v>
      </c>
    </row>
    <row r="3767" spans="1:4" x14ac:dyDescent="0.25">
      <c r="A3767" s="89" t="s">
        <v>671</v>
      </c>
      <c r="C3767" s="89">
        <v>740086</v>
      </c>
      <c r="D3767" s="89" t="s">
        <v>663</v>
      </c>
    </row>
    <row r="3768" spans="1:4" x14ac:dyDescent="0.25">
      <c r="A3768" s="89" t="s">
        <v>671</v>
      </c>
      <c r="C3768" s="89">
        <v>255576.55</v>
      </c>
      <c r="D3768" s="89" t="s">
        <v>664</v>
      </c>
    </row>
    <row r="3769" spans="1:4" x14ac:dyDescent="0.25">
      <c r="A3769" s="89" t="s">
        <v>671</v>
      </c>
      <c r="C3769" s="89">
        <v>497385</v>
      </c>
      <c r="D3769" s="89" t="s">
        <v>664</v>
      </c>
    </row>
    <row r="3770" spans="1:4" x14ac:dyDescent="0.25">
      <c r="A3770" s="89" t="s">
        <v>671</v>
      </c>
      <c r="C3770" s="89">
        <v>263401.55</v>
      </c>
      <c r="D3770" s="89" t="s">
        <v>663</v>
      </c>
    </row>
    <row r="3771" spans="1:4" x14ac:dyDescent="0.25">
      <c r="A3771" s="89" t="s">
        <v>671</v>
      </c>
      <c r="C3771" s="89">
        <v>9851241.8200000003</v>
      </c>
      <c r="D3771" s="89" t="s">
        <v>664</v>
      </c>
    </row>
    <row r="3772" spans="1:4" x14ac:dyDescent="0.25">
      <c r="A3772" s="89" t="s">
        <v>671</v>
      </c>
      <c r="C3772" s="89">
        <v>-168444.9</v>
      </c>
      <c r="D3772" s="89" t="s">
        <v>663</v>
      </c>
    </row>
    <row r="3773" spans="1:4" x14ac:dyDescent="0.25">
      <c r="A3773" s="89" t="s">
        <v>671</v>
      </c>
      <c r="C3773" s="89">
        <v>-16751.54</v>
      </c>
      <c r="D3773" s="89" t="s">
        <v>666</v>
      </c>
    </row>
    <row r="3774" spans="1:4" x14ac:dyDescent="0.25">
      <c r="A3774" s="89" t="s">
        <v>671</v>
      </c>
      <c r="C3774" s="89">
        <v>143457</v>
      </c>
      <c r="D3774" s="89" t="s">
        <v>664</v>
      </c>
    </row>
    <row r="3775" spans="1:4" x14ac:dyDescent="0.25">
      <c r="A3775" s="89" t="s">
        <v>671</v>
      </c>
      <c r="C3775" s="89">
        <v>50000</v>
      </c>
      <c r="D3775" s="89" t="s">
        <v>666</v>
      </c>
    </row>
    <row r="3776" spans="1:4" x14ac:dyDescent="0.25">
      <c r="A3776" s="89" t="s">
        <v>671</v>
      </c>
      <c r="C3776" s="89">
        <v>2725477.21</v>
      </c>
      <c r="D3776" s="89" t="s">
        <v>663</v>
      </c>
    </row>
    <row r="3777" spans="1:4" x14ac:dyDescent="0.25">
      <c r="A3777" s="89" t="s">
        <v>671</v>
      </c>
      <c r="C3777" s="89">
        <v>689642</v>
      </c>
      <c r="D3777" s="89" t="s">
        <v>666</v>
      </c>
    </row>
    <row r="3778" spans="1:4" x14ac:dyDescent="0.25">
      <c r="A3778" s="89" t="s">
        <v>671</v>
      </c>
      <c r="C3778" s="89">
        <v>4985783.7699999996</v>
      </c>
      <c r="D3778" s="89" t="s">
        <v>664</v>
      </c>
    </row>
    <row r="3779" spans="1:4" x14ac:dyDescent="0.25">
      <c r="A3779" s="89" t="s">
        <v>671</v>
      </c>
      <c r="C3779" s="89">
        <v>1205344</v>
      </c>
      <c r="D3779" s="89" t="s">
        <v>663</v>
      </c>
    </row>
    <row r="3780" spans="1:4" x14ac:dyDescent="0.25">
      <c r="A3780" s="89" t="s">
        <v>671</v>
      </c>
      <c r="C3780" s="89">
        <v>501157.01</v>
      </c>
      <c r="D3780" s="89" t="s">
        <v>666</v>
      </c>
    </row>
    <row r="3781" spans="1:4" x14ac:dyDescent="0.25">
      <c r="A3781" s="89" t="s">
        <v>671</v>
      </c>
      <c r="C3781" s="89">
        <v>12660.74</v>
      </c>
      <c r="D3781" s="89" t="s">
        <v>666</v>
      </c>
    </row>
    <row r="3782" spans="1:4" x14ac:dyDescent="0.25">
      <c r="A3782" s="89" t="s">
        <v>671</v>
      </c>
      <c r="C3782" s="89">
        <v>643435</v>
      </c>
      <c r="D3782" s="89" t="s">
        <v>663</v>
      </c>
    </row>
    <row r="3783" spans="1:4" x14ac:dyDescent="0.25">
      <c r="A3783" s="89" t="s">
        <v>671</v>
      </c>
      <c r="C3783" s="89">
        <v>225085</v>
      </c>
      <c r="D3783" s="89" t="s">
        <v>664</v>
      </c>
    </row>
    <row r="3784" spans="1:4" x14ac:dyDescent="0.25">
      <c r="A3784" s="89" t="s">
        <v>671</v>
      </c>
      <c r="C3784" s="89">
        <v>171595</v>
      </c>
      <c r="D3784" s="89" t="s">
        <v>666</v>
      </c>
    </row>
    <row r="3785" spans="1:4" x14ac:dyDescent="0.25">
      <c r="A3785" s="89" t="s">
        <v>671</v>
      </c>
      <c r="C3785" s="89">
        <v>322016</v>
      </c>
      <c r="D3785" s="89" t="s">
        <v>663</v>
      </c>
    </row>
    <row r="3786" spans="1:4" x14ac:dyDescent="0.25">
      <c r="A3786" s="89" t="s">
        <v>671</v>
      </c>
      <c r="C3786" s="89">
        <v>1034198</v>
      </c>
      <c r="D3786" s="89" t="s">
        <v>664</v>
      </c>
    </row>
    <row r="3787" spans="1:4" x14ac:dyDescent="0.25">
      <c r="A3787" s="89" t="s">
        <v>671</v>
      </c>
      <c r="C3787" s="89">
        <v>3046605.83</v>
      </c>
      <c r="D3787" s="89" t="s">
        <v>663</v>
      </c>
    </row>
    <row r="3788" spans="1:4" x14ac:dyDescent="0.25">
      <c r="A3788" s="89" t="s">
        <v>671</v>
      </c>
      <c r="C3788" s="89">
        <v>560250</v>
      </c>
      <c r="D3788" s="89" t="s">
        <v>663</v>
      </c>
    </row>
    <row r="3789" spans="1:4" x14ac:dyDescent="0.25">
      <c r="A3789" s="89" t="s">
        <v>671</v>
      </c>
      <c r="C3789" s="89">
        <v>295500</v>
      </c>
      <c r="D3789" s="89" t="s">
        <v>664</v>
      </c>
    </row>
    <row r="3790" spans="1:4" x14ac:dyDescent="0.25">
      <c r="A3790" s="89" t="s">
        <v>671</v>
      </c>
      <c r="C3790" s="89">
        <v>371975</v>
      </c>
      <c r="D3790" s="89" t="s">
        <v>666</v>
      </c>
    </row>
    <row r="3791" spans="1:4" x14ac:dyDescent="0.25">
      <c r="A3791" s="89" t="s">
        <v>671</v>
      </c>
      <c r="C3791" s="89">
        <v>189668</v>
      </c>
      <c r="D3791" s="89" t="s">
        <v>663</v>
      </c>
    </row>
    <row r="3792" spans="1:4" x14ac:dyDescent="0.25">
      <c r="A3792" s="89" t="s">
        <v>671</v>
      </c>
      <c r="C3792" s="89">
        <v>646000</v>
      </c>
      <c r="D3792" s="89" t="s">
        <v>664</v>
      </c>
    </row>
    <row r="3793" spans="1:4" x14ac:dyDescent="0.25">
      <c r="A3793" s="89" t="s">
        <v>671</v>
      </c>
      <c r="C3793" s="89">
        <v>353000</v>
      </c>
      <c r="D3793" s="89" t="s">
        <v>666</v>
      </c>
    </row>
    <row r="3794" spans="1:4" x14ac:dyDescent="0.25">
      <c r="A3794" s="89" t="s">
        <v>671</v>
      </c>
      <c r="C3794" s="89">
        <v>611219</v>
      </c>
      <c r="D3794" s="89" t="s">
        <v>663</v>
      </c>
    </row>
    <row r="3795" spans="1:4" x14ac:dyDescent="0.25">
      <c r="A3795" s="89" t="s">
        <v>671</v>
      </c>
      <c r="C3795" s="89">
        <v>758298</v>
      </c>
      <c r="D3795" s="89" t="s">
        <v>664</v>
      </c>
    </row>
    <row r="3796" spans="1:4" x14ac:dyDescent="0.25">
      <c r="A3796" s="89" t="s">
        <v>671</v>
      </c>
      <c r="C3796" s="89">
        <v>180059</v>
      </c>
      <c r="D3796" s="89" t="s">
        <v>666</v>
      </c>
    </row>
    <row r="3797" spans="1:4" x14ac:dyDescent="0.25">
      <c r="A3797" s="89" t="s">
        <v>671</v>
      </c>
      <c r="C3797" s="89">
        <v>237357</v>
      </c>
      <c r="D3797" s="89" t="s">
        <v>664</v>
      </c>
    </row>
    <row r="3798" spans="1:4" x14ac:dyDescent="0.25">
      <c r="A3798" s="89" t="s">
        <v>671</v>
      </c>
      <c r="C3798" s="89">
        <v>219340</v>
      </c>
      <c r="D3798" s="89" t="s">
        <v>666</v>
      </c>
    </row>
    <row r="3799" spans="1:4" x14ac:dyDescent="0.25">
      <c r="A3799" s="89" t="s">
        <v>671</v>
      </c>
      <c r="C3799" s="89">
        <v>1494172</v>
      </c>
      <c r="D3799" s="89" t="s">
        <v>666</v>
      </c>
    </row>
    <row r="3800" spans="1:4" x14ac:dyDescent="0.25">
      <c r="A3800" s="89" t="s">
        <v>671</v>
      </c>
      <c r="C3800" s="89">
        <v>294800</v>
      </c>
      <c r="D3800" s="89" t="s">
        <v>666</v>
      </c>
    </row>
    <row r="3801" spans="1:4" x14ac:dyDescent="0.25">
      <c r="A3801" s="89" t="s">
        <v>671</v>
      </c>
      <c r="C3801" s="89">
        <v>477668</v>
      </c>
      <c r="D3801" s="89" t="s">
        <v>664</v>
      </c>
    </row>
    <row r="3802" spans="1:4" x14ac:dyDescent="0.25">
      <c r="A3802" s="89" t="s">
        <v>671</v>
      </c>
      <c r="C3802" s="89">
        <v>201031</v>
      </c>
      <c r="D3802" s="89" t="s">
        <v>666</v>
      </c>
    </row>
    <row r="3803" spans="1:4" x14ac:dyDescent="0.25">
      <c r="A3803" s="89" t="s">
        <v>671</v>
      </c>
      <c r="C3803" s="89">
        <v>463921</v>
      </c>
      <c r="D3803" s="89" t="s">
        <v>663</v>
      </c>
    </row>
    <row r="3804" spans="1:4" x14ac:dyDescent="0.25">
      <c r="A3804" s="89" t="s">
        <v>671</v>
      </c>
      <c r="C3804" s="89">
        <v>513628</v>
      </c>
      <c r="D3804" s="89" t="s">
        <v>664</v>
      </c>
    </row>
    <row r="3805" spans="1:4" x14ac:dyDescent="0.25">
      <c r="A3805" s="89" t="s">
        <v>671</v>
      </c>
      <c r="C3805" s="89">
        <v>316791</v>
      </c>
      <c r="D3805" s="89" t="s">
        <v>663</v>
      </c>
    </row>
    <row r="3806" spans="1:4" x14ac:dyDescent="0.25">
      <c r="A3806" s="89" t="s">
        <v>671</v>
      </c>
      <c r="C3806" s="89">
        <v>235349.26</v>
      </c>
      <c r="D3806" s="89" t="s">
        <v>666</v>
      </c>
    </row>
    <row r="3807" spans="1:4" x14ac:dyDescent="0.25">
      <c r="A3807" s="89" t="s">
        <v>671</v>
      </c>
      <c r="C3807" s="89">
        <v>1773906</v>
      </c>
      <c r="D3807" s="89" t="s">
        <v>666</v>
      </c>
    </row>
    <row r="3808" spans="1:4" x14ac:dyDescent="0.25">
      <c r="A3808" s="89" t="s">
        <v>671</v>
      </c>
      <c r="C3808" s="89">
        <v>2778173.16</v>
      </c>
      <c r="D3808" s="89" t="s">
        <v>663</v>
      </c>
    </row>
    <row r="3809" spans="1:4" x14ac:dyDescent="0.25">
      <c r="A3809" s="89" t="s">
        <v>671</v>
      </c>
      <c r="C3809" s="89">
        <v>50000</v>
      </c>
      <c r="D3809" s="89" t="s">
        <v>666</v>
      </c>
    </row>
    <row r="3810" spans="1:4" x14ac:dyDescent="0.25">
      <c r="A3810" s="89" t="s">
        <v>671</v>
      </c>
      <c r="C3810" s="89">
        <v>50000</v>
      </c>
      <c r="D3810" s="89" t="s">
        <v>666</v>
      </c>
    </row>
    <row r="3811" spans="1:4" x14ac:dyDescent="0.25">
      <c r="A3811" s="89" t="s">
        <v>671</v>
      </c>
      <c r="C3811" s="89">
        <v>2255510</v>
      </c>
      <c r="D3811" s="89" t="s">
        <v>666</v>
      </c>
    </row>
    <row r="3812" spans="1:4" x14ac:dyDescent="0.25">
      <c r="A3812" s="89" t="s">
        <v>671</v>
      </c>
      <c r="C3812" s="89">
        <v>3434823.34</v>
      </c>
      <c r="D3812" s="89" t="s">
        <v>663</v>
      </c>
    </row>
    <row r="3813" spans="1:4" x14ac:dyDescent="0.25">
      <c r="A3813" s="89" t="s">
        <v>671</v>
      </c>
      <c r="C3813" s="89">
        <v>1360109.1</v>
      </c>
      <c r="D3813" s="89" t="s">
        <v>663</v>
      </c>
    </row>
    <row r="3814" spans="1:4" x14ac:dyDescent="0.25">
      <c r="A3814" s="89" t="s">
        <v>79</v>
      </c>
      <c r="B3814" s="89" t="s">
        <v>617</v>
      </c>
      <c r="C3814" s="89">
        <v>6103009</v>
      </c>
      <c r="D3814" s="89" t="s">
        <v>663</v>
      </c>
    </row>
    <row r="3815" spans="1:4" x14ac:dyDescent="0.25">
      <c r="A3815" s="89" t="s">
        <v>79</v>
      </c>
      <c r="B3815" s="89" t="s">
        <v>617</v>
      </c>
      <c r="C3815" s="89">
        <v>3091409</v>
      </c>
      <c r="D3815" s="89" t="s">
        <v>664</v>
      </c>
    </row>
    <row r="3816" spans="1:4" x14ac:dyDescent="0.25">
      <c r="A3816" s="89" t="s">
        <v>79</v>
      </c>
      <c r="B3816" s="89" t="s">
        <v>617</v>
      </c>
      <c r="C3816" s="89">
        <v>-200000</v>
      </c>
      <c r="D3816" s="89" t="s">
        <v>664</v>
      </c>
    </row>
    <row r="3817" spans="1:4" x14ac:dyDescent="0.25">
      <c r="A3817" s="89" t="s">
        <v>79</v>
      </c>
      <c r="B3817" s="89" t="s">
        <v>617</v>
      </c>
      <c r="C3817" s="89">
        <v>-75739.87</v>
      </c>
      <c r="D3817" s="89" t="s">
        <v>666</v>
      </c>
    </row>
    <row r="3818" spans="1:4" x14ac:dyDescent="0.25">
      <c r="A3818" s="89" t="s">
        <v>79</v>
      </c>
      <c r="B3818" s="89" t="s">
        <v>617</v>
      </c>
      <c r="C3818" s="89">
        <v>-265999.59000000003</v>
      </c>
      <c r="D3818" s="89" t="s">
        <v>663</v>
      </c>
    </row>
    <row r="3819" spans="1:4" x14ac:dyDescent="0.25">
      <c r="A3819" s="89" t="s">
        <v>79</v>
      </c>
      <c r="B3819" s="89" t="s">
        <v>617</v>
      </c>
      <c r="C3819" s="89">
        <v>-122330.07</v>
      </c>
      <c r="D3819" s="89" t="s">
        <v>664</v>
      </c>
    </row>
    <row r="3820" spans="1:4" x14ac:dyDescent="0.25">
      <c r="A3820" s="89" t="s">
        <v>79</v>
      </c>
      <c r="B3820" s="89" t="s">
        <v>617</v>
      </c>
      <c r="C3820" s="89">
        <v>330578</v>
      </c>
      <c r="D3820" s="89" t="s">
        <v>666</v>
      </c>
    </row>
    <row r="3821" spans="1:4" x14ac:dyDescent="0.25">
      <c r="A3821" s="89" t="s">
        <v>79</v>
      </c>
      <c r="B3821" s="89" t="s">
        <v>617</v>
      </c>
      <c r="C3821" s="89">
        <v>2404656</v>
      </c>
      <c r="D3821" s="89" t="s">
        <v>666</v>
      </c>
    </row>
    <row r="3822" spans="1:4" x14ac:dyDescent="0.25">
      <c r="A3822" s="89" t="s">
        <v>79</v>
      </c>
      <c r="B3822" s="89" t="s">
        <v>617</v>
      </c>
      <c r="C3822" s="89">
        <v>-200000</v>
      </c>
      <c r="D3822" s="89" t="s">
        <v>664</v>
      </c>
    </row>
    <row r="3823" spans="1:4" x14ac:dyDescent="0.25">
      <c r="A3823" s="89" t="s">
        <v>79</v>
      </c>
      <c r="B3823" s="89" t="s">
        <v>617</v>
      </c>
      <c r="C3823" s="89">
        <v>247804</v>
      </c>
      <c r="D3823" s="89" t="s">
        <v>663</v>
      </c>
    </row>
    <row r="3824" spans="1:4" x14ac:dyDescent="0.25">
      <c r="A3824" s="89" t="s">
        <v>79</v>
      </c>
      <c r="B3824" s="89" t="s">
        <v>617</v>
      </c>
      <c r="C3824" s="89">
        <v>194434</v>
      </c>
      <c r="D3824" s="89" t="s">
        <v>663</v>
      </c>
    </row>
    <row r="3825" spans="1:4" x14ac:dyDescent="0.25">
      <c r="A3825" s="89" t="s">
        <v>79</v>
      </c>
      <c r="B3825" s="89" t="s">
        <v>617</v>
      </c>
      <c r="C3825" s="89">
        <v>145798</v>
      </c>
      <c r="D3825" s="89" t="s">
        <v>664</v>
      </c>
    </row>
    <row r="3826" spans="1:4" x14ac:dyDescent="0.25">
      <c r="A3826" s="89" t="s">
        <v>79</v>
      </c>
      <c r="B3826" s="89" t="s">
        <v>617</v>
      </c>
      <c r="C3826" s="89">
        <v>289161</v>
      </c>
      <c r="D3826" s="89" t="s">
        <v>664</v>
      </c>
    </row>
    <row r="3827" spans="1:4" x14ac:dyDescent="0.25">
      <c r="A3827" s="89" t="s">
        <v>79</v>
      </c>
      <c r="B3827" s="89" t="s">
        <v>617</v>
      </c>
      <c r="C3827" s="89">
        <v>567466</v>
      </c>
      <c r="D3827" s="89" t="s">
        <v>666</v>
      </c>
    </row>
    <row r="3828" spans="1:4" x14ac:dyDescent="0.25">
      <c r="A3828" s="89" t="s">
        <v>79</v>
      </c>
      <c r="B3828" s="89" t="s">
        <v>617</v>
      </c>
      <c r="C3828" s="89">
        <v>-200000</v>
      </c>
      <c r="D3828" s="89" t="s">
        <v>664</v>
      </c>
    </row>
    <row r="3829" spans="1:4" x14ac:dyDescent="0.25">
      <c r="A3829" s="89" t="s">
        <v>79</v>
      </c>
      <c r="B3829" s="89" t="s">
        <v>617</v>
      </c>
      <c r="C3829" s="89">
        <v>-200000</v>
      </c>
      <c r="D3829" s="89" t="s">
        <v>664</v>
      </c>
    </row>
    <row r="3830" spans="1:4" x14ac:dyDescent="0.25">
      <c r="A3830" s="89" t="s">
        <v>79</v>
      </c>
      <c r="B3830" s="89" t="s">
        <v>617</v>
      </c>
      <c r="C3830" s="89">
        <v>-17327.580000000002</v>
      </c>
      <c r="D3830" s="89" t="s">
        <v>666</v>
      </c>
    </row>
    <row r="3831" spans="1:4" x14ac:dyDescent="0.25">
      <c r="A3831" s="89" t="s">
        <v>79</v>
      </c>
      <c r="B3831" s="89" t="s">
        <v>617</v>
      </c>
      <c r="C3831" s="89">
        <v>9432898</v>
      </c>
      <c r="D3831" s="89" t="s">
        <v>663</v>
      </c>
    </row>
    <row r="3832" spans="1:4" x14ac:dyDescent="0.25">
      <c r="A3832" s="89" t="s">
        <v>79</v>
      </c>
      <c r="B3832" s="89" t="s">
        <v>617</v>
      </c>
      <c r="C3832" s="89">
        <v>5392766</v>
      </c>
      <c r="D3832" s="89" t="s">
        <v>664</v>
      </c>
    </row>
    <row r="3833" spans="1:4" x14ac:dyDescent="0.25">
      <c r="A3833" s="89" t="s">
        <v>79</v>
      </c>
      <c r="B3833" s="89" t="s">
        <v>617</v>
      </c>
      <c r="C3833" s="89">
        <v>1310022</v>
      </c>
      <c r="D3833" s="89" t="s">
        <v>666</v>
      </c>
    </row>
    <row r="3834" spans="1:4" x14ac:dyDescent="0.25">
      <c r="A3834" s="89" t="s">
        <v>79</v>
      </c>
      <c r="B3834" s="89" t="s">
        <v>617</v>
      </c>
      <c r="C3834" s="89">
        <v>5406484</v>
      </c>
      <c r="D3834" s="89" t="s">
        <v>663</v>
      </c>
    </row>
    <row r="3835" spans="1:4" x14ac:dyDescent="0.25">
      <c r="A3835" s="89" t="s">
        <v>79</v>
      </c>
      <c r="B3835" s="89" t="s">
        <v>617</v>
      </c>
      <c r="C3835" s="89">
        <v>7353080</v>
      </c>
      <c r="D3835" s="89" t="s">
        <v>664</v>
      </c>
    </row>
    <row r="3836" spans="1:4" x14ac:dyDescent="0.25">
      <c r="A3836" s="89" t="s">
        <v>79</v>
      </c>
      <c r="B3836" s="89" t="s">
        <v>617</v>
      </c>
      <c r="C3836" s="89">
        <v>6618574</v>
      </c>
      <c r="D3836" s="89" t="s">
        <v>666</v>
      </c>
    </row>
    <row r="3837" spans="1:4" x14ac:dyDescent="0.25">
      <c r="A3837" s="89" t="s">
        <v>158</v>
      </c>
      <c r="B3837" s="89" t="s">
        <v>615</v>
      </c>
      <c r="C3837" s="89">
        <v>1189268</v>
      </c>
      <c r="D3837" s="89" t="s">
        <v>664</v>
      </c>
    </row>
    <row r="3838" spans="1:4" x14ac:dyDescent="0.25">
      <c r="A3838" s="89" t="s">
        <v>158</v>
      </c>
      <c r="B3838" s="89" t="s">
        <v>615</v>
      </c>
      <c r="C3838" s="89">
        <v>2136700</v>
      </c>
      <c r="D3838" s="89" t="s">
        <v>666</v>
      </c>
    </row>
    <row r="3839" spans="1:4" x14ac:dyDescent="0.25">
      <c r="A3839" s="89" t="s">
        <v>158</v>
      </c>
      <c r="B3839" s="89" t="s">
        <v>615</v>
      </c>
      <c r="C3839" s="89">
        <v>6503328</v>
      </c>
      <c r="D3839" s="89" t="s">
        <v>663</v>
      </c>
    </row>
    <row r="3840" spans="1:4" x14ac:dyDescent="0.25">
      <c r="A3840" s="89" t="s">
        <v>158</v>
      </c>
      <c r="B3840" s="89" t="s">
        <v>615</v>
      </c>
      <c r="C3840" s="89">
        <v>124438</v>
      </c>
      <c r="D3840" s="89" t="s">
        <v>666</v>
      </c>
    </row>
    <row r="3841" spans="1:4" x14ac:dyDescent="0.25">
      <c r="A3841" s="89" t="s">
        <v>158</v>
      </c>
      <c r="B3841" s="89" t="s">
        <v>615</v>
      </c>
      <c r="C3841" s="89">
        <v>809947</v>
      </c>
      <c r="D3841" s="89" t="s">
        <v>663</v>
      </c>
    </row>
    <row r="3842" spans="1:4" x14ac:dyDescent="0.25">
      <c r="A3842" s="89" t="s">
        <v>158</v>
      </c>
      <c r="B3842" s="89" t="s">
        <v>615</v>
      </c>
      <c r="C3842" s="89">
        <v>349654</v>
      </c>
      <c r="D3842" s="89" t="s">
        <v>664</v>
      </c>
    </row>
    <row r="3843" spans="1:4" x14ac:dyDescent="0.25">
      <c r="A3843" s="89" t="s">
        <v>158</v>
      </c>
      <c r="B3843" s="89" t="s">
        <v>615</v>
      </c>
      <c r="C3843" s="89">
        <v>8861</v>
      </c>
      <c r="D3843" s="89" t="s">
        <v>666</v>
      </c>
    </row>
    <row r="3844" spans="1:4" x14ac:dyDescent="0.25">
      <c r="A3844" s="89" t="s">
        <v>158</v>
      </c>
      <c r="B3844" s="89" t="s">
        <v>615</v>
      </c>
      <c r="C3844" s="89">
        <v>1387855</v>
      </c>
      <c r="D3844" s="89" t="s">
        <v>663</v>
      </c>
    </row>
    <row r="3845" spans="1:4" x14ac:dyDescent="0.25">
      <c r="A3845" s="89" t="s">
        <v>158</v>
      </c>
      <c r="B3845" s="89" t="s">
        <v>615</v>
      </c>
      <c r="C3845" s="89">
        <v>142961</v>
      </c>
      <c r="D3845" s="89" t="s">
        <v>666</v>
      </c>
    </row>
    <row r="3846" spans="1:4" x14ac:dyDescent="0.25">
      <c r="A3846" s="89" t="s">
        <v>158</v>
      </c>
      <c r="B3846" s="89" t="s">
        <v>615</v>
      </c>
      <c r="C3846" s="89">
        <v>6410695</v>
      </c>
      <c r="D3846" s="89" t="s">
        <v>663</v>
      </c>
    </row>
    <row r="3847" spans="1:4" x14ac:dyDescent="0.25">
      <c r="A3847" s="89" t="s">
        <v>158</v>
      </c>
      <c r="B3847" s="89" t="s">
        <v>615</v>
      </c>
      <c r="C3847" s="89">
        <v>390715</v>
      </c>
      <c r="D3847" s="89" t="s">
        <v>666</v>
      </c>
    </row>
    <row r="3848" spans="1:4" x14ac:dyDescent="0.25">
      <c r="A3848" s="89" t="s">
        <v>158</v>
      </c>
      <c r="B3848" s="89" t="s">
        <v>615</v>
      </c>
      <c r="C3848" s="89">
        <v>1370770</v>
      </c>
      <c r="D3848" s="89" t="s">
        <v>664</v>
      </c>
    </row>
    <row r="3849" spans="1:4" x14ac:dyDescent="0.25">
      <c r="A3849" s="89" t="s">
        <v>158</v>
      </c>
      <c r="B3849" s="89" t="s">
        <v>615</v>
      </c>
      <c r="C3849" s="89">
        <v>9145445.8399999999</v>
      </c>
      <c r="D3849" s="89" t="s">
        <v>663</v>
      </c>
    </row>
    <row r="3850" spans="1:4" x14ac:dyDescent="0.25">
      <c r="A3850" s="89" t="s">
        <v>158</v>
      </c>
      <c r="B3850" s="89" t="s">
        <v>615</v>
      </c>
      <c r="C3850" s="89">
        <v>2667678.2999999998</v>
      </c>
      <c r="D3850" s="89" t="s">
        <v>666</v>
      </c>
    </row>
    <row r="3851" spans="1:4" x14ac:dyDescent="0.25">
      <c r="A3851" s="89" t="s">
        <v>158</v>
      </c>
      <c r="B3851" s="89" t="s">
        <v>615</v>
      </c>
      <c r="C3851" s="89">
        <v>357074.27</v>
      </c>
      <c r="D3851" s="89" t="s">
        <v>664</v>
      </c>
    </row>
    <row r="3852" spans="1:4" x14ac:dyDescent="0.25">
      <c r="A3852" s="89" t="s">
        <v>158</v>
      </c>
      <c r="B3852" s="89" t="s">
        <v>615</v>
      </c>
      <c r="C3852" s="89">
        <v>75402</v>
      </c>
      <c r="D3852" s="89" t="s">
        <v>666</v>
      </c>
    </row>
    <row r="3853" spans="1:4" x14ac:dyDescent="0.25">
      <c r="A3853" s="89" t="s">
        <v>158</v>
      </c>
      <c r="B3853" s="89" t="s">
        <v>615</v>
      </c>
      <c r="C3853" s="89">
        <v>19615557.109999999</v>
      </c>
      <c r="D3853" s="89" t="s">
        <v>663</v>
      </c>
    </row>
    <row r="3854" spans="1:4" x14ac:dyDescent="0.25">
      <c r="A3854" s="89" t="s">
        <v>158</v>
      </c>
      <c r="B3854" s="89" t="s">
        <v>615</v>
      </c>
      <c r="C3854" s="89">
        <v>3771.93</v>
      </c>
      <c r="D3854" s="89" t="s">
        <v>666</v>
      </c>
    </row>
    <row r="3855" spans="1:4" x14ac:dyDescent="0.25">
      <c r="A3855" s="89" t="s">
        <v>158</v>
      </c>
      <c r="B3855" s="89" t="s">
        <v>615</v>
      </c>
      <c r="C3855" s="89">
        <v>579620.18999999994</v>
      </c>
      <c r="D3855" s="89" t="s">
        <v>664</v>
      </c>
    </row>
    <row r="3856" spans="1:4" x14ac:dyDescent="0.25">
      <c r="A3856" s="89" t="s">
        <v>158</v>
      </c>
      <c r="B3856" s="89" t="s">
        <v>615</v>
      </c>
      <c r="C3856" s="89">
        <v>2344699</v>
      </c>
      <c r="D3856" s="89" t="s">
        <v>666</v>
      </c>
    </row>
    <row r="3857" spans="1:4" x14ac:dyDescent="0.25">
      <c r="A3857" s="89" t="s">
        <v>158</v>
      </c>
      <c r="B3857" s="89" t="s">
        <v>615</v>
      </c>
      <c r="C3857" s="89">
        <v>9395467.6400000006</v>
      </c>
      <c r="D3857" s="89" t="s">
        <v>663</v>
      </c>
    </row>
    <row r="3858" spans="1:4" x14ac:dyDescent="0.25">
      <c r="A3858" s="89" t="s">
        <v>158</v>
      </c>
      <c r="B3858" s="89" t="s">
        <v>615</v>
      </c>
      <c r="C3858" s="89">
        <v>15492726.779999999</v>
      </c>
      <c r="D3858" s="89" t="s">
        <v>663</v>
      </c>
    </row>
    <row r="3859" spans="1:4" x14ac:dyDescent="0.25">
      <c r="A3859" s="89" t="s">
        <v>158</v>
      </c>
      <c r="B3859" s="89" t="s">
        <v>615</v>
      </c>
      <c r="C3859" s="89">
        <v>209320.34</v>
      </c>
      <c r="D3859" s="89" t="s">
        <v>666</v>
      </c>
    </row>
    <row r="3860" spans="1:4" x14ac:dyDescent="0.25">
      <c r="A3860" s="89" t="s">
        <v>158</v>
      </c>
      <c r="B3860" s="89" t="s">
        <v>615</v>
      </c>
      <c r="C3860" s="89">
        <v>822555</v>
      </c>
      <c r="D3860" s="89" t="s">
        <v>664</v>
      </c>
    </row>
    <row r="3861" spans="1:4" x14ac:dyDescent="0.25">
      <c r="A3861" s="89" t="s">
        <v>158</v>
      </c>
      <c r="B3861" s="89" t="s">
        <v>615</v>
      </c>
      <c r="C3861" s="89">
        <v>1074522.26</v>
      </c>
      <c r="D3861" s="89" t="s">
        <v>666</v>
      </c>
    </row>
    <row r="3862" spans="1:4" x14ac:dyDescent="0.25">
      <c r="A3862" s="89" t="s">
        <v>158</v>
      </c>
      <c r="B3862" s="89" t="s">
        <v>615</v>
      </c>
      <c r="C3862" s="89">
        <v>2268199</v>
      </c>
      <c r="D3862" s="89" t="s">
        <v>664</v>
      </c>
    </row>
    <row r="3863" spans="1:4" x14ac:dyDescent="0.25">
      <c r="A3863" s="89" t="s">
        <v>158</v>
      </c>
      <c r="B3863" s="89" t="s">
        <v>615</v>
      </c>
      <c r="C3863" s="89">
        <v>3924786</v>
      </c>
      <c r="D3863" s="89" t="s">
        <v>663</v>
      </c>
    </row>
    <row r="3864" spans="1:4" x14ac:dyDescent="0.25">
      <c r="A3864" s="89" t="s">
        <v>158</v>
      </c>
      <c r="B3864" s="89" t="s">
        <v>615</v>
      </c>
      <c r="C3864" s="89">
        <v>341289</v>
      </c>
      <c r="D3864" s="89" t="s">
        <v>664</v>
      </c>
    </row>
    <row r="3865" spans="1:4" x14ac:dyDescent="0.25">
      <c r="A3865" s="89" t="s">
        <v>158</v>
      </c>
      <c r="B3865" s="89" t="s">
        <v>615</v>
      </c>
      <c r="C3865" s="89">
        <v>1135672.6499999999</v>
      </c>
      <c r="D3865" s="89" t="s">
        <v>666</v>
      </c>
    </row>
    <row r="3866" spans="1:4" x14ac:dyDescent="0.25">
      <c r="A3866" s="89" t="s">
        <v>158</v>
      </c>
      <c r="B3866" s="89" t="s">
        <v>615</v>
      </c>
      <c r="C3866" s="89">
        <v>5730562.9500000002</v>
      </c>
      <c r="D3866" s="89" t="s">
        <v>663</v>
      </c>
    </row>
    <row r="3867" spans="1:4" x14ac:dyDescent="0.25">
      <c r="A3867" s="89" t="s">
        <v>158</v>
      </c>
      <c r="B3867" s="89" t="s">
        <v>615</v>
      </c>
      <c r="C3867" s="89">
        <v>399754.83</v>
      </c>
      <c r="D3867" s="89" t="s">
        <v>664</v>
      </c>
    </row>
    <row r="3868" spans="1:4" x14ac:dyDescent="0.25">
      <c r="A3868" s="89" t="s">
        <v>158</v>
      </c>
      <c r="B3868" s="89" t="s">
        <v>615</v>
      </c>
      <c r="C3868" s="89">
        <v>621554.77</v>
      </c>
      <c r="D3868" s="89" t="s">
        <v>666</v>
      </c>
    </row>
    <row r="3869" spans="1:4" x14ac:dyDescent="0.25">
      <c r="A3869" s="89" t="s">
        <v>158</v>
      </c>
      <c r="B3869" s="89" t="s">
        <v>615</v>
      </c>
      <c r="C3869" s="89">
        <v>1500310</v>
      </c>
      <c r="D3869" s="89" t="s">
        <v>666</v>
      </c>
    </row>
    <row r="3870" spans="1:4" x14ac:dyDescent="0.25">
      <c r="A3870" s="89" t="s">
        <v>158</v>
      </c>
      <c r="B3870" s="89" t="s">
        <v>615</v>
      </c>
      <c r="C3870" s="89">
        <v>2861015.76</v>
      </c>
      <c r="D3870" s="89" t="s">
        <v>664</v>
      </c>
    </row>
    <row r="3871" spans="1:4" x14ac:dyDescent="0.25">
      <c r="A3871" s="89" t="s">
        <v>158</v>
      </c>
      <c r="B3871" s="89" t="s">
        <v>615</v>
      </c>
      <c r="C3871" s="89">
        <v>204553.60000000001</v>
      </c>
      <c r="D3871" s="89" t="s">
        <v>664</v>
      </c>
    </row>
    <row r="3872" spans="1:4" x14ac:dyDescent="0.25">
      <c r="A3872" s="89" t="s">
        <v>158</v>
      </c>
      <c r="B3872" s="89" t="s">
        <v>615</v>
      </c>
      <c r="C3872" s="89">
        <v>5224622.9800000004</v>
      </c>
      <c r="D3872" s="89" t="s">
        <v>663</v>
      </c>
    </row>
    <row r="3873" spans="1:4" x14ac:dyDescent="0.25">
      <c r="A3873" s="89" t="s">
        <v>158</v>
      </c>
      <c r="B3873" s="89" t="s">
        <v>615</v>
      </c>
      <c r="C3873" s="89">
        <v>78507.789999999994</v>
      </c>
      <c r="D3873" s="89" t="s">
        <v>666</v>
      </c>
    </row>
    <row r="3874" spans="1:4" x14ac:dyDescent="0.25">
      <c r="A3874" s="89" t="s">
        <v>158</v>
      </c>
      <c r="B3874" s="89" t="s">
        <v>615</v>
      </c>
      <c r="C3874" s="89">
        <v>816007.74</v>
      </c>
      <c r="D3874" s="89" t="s">
        <v>666</v>
      </c>
    </row>
    <row r="3875" spans="1:4" x14ac:dyDescent="0.25">
      <c r="A3875" s="89" t="s">
        <v>158</v>
      </c>
      <c r="B3875" s="89" t="s">
        <v>615</v>
      </c>
      <c r="C3875" s="89">
        <v>5180420</v>
      </c>
      <c r="D3875" s="89" t="s">
        <v>663</v>
      </c>
    </row>
    <row r="3876" spans="1:4" x14ac:dyDescent="0.25">
      <c r="A3876" s="89" t="s">
        <v>158</v>
      </c>
      <c r="B3876" s="89" t="s">
        <v>615</v>
      </c>
      <c r="C3876" s="89">
        <v>7276079.0499999998</v>
      </c>
      <c r="D3876" s="89" t="s">
        <v>663</v>
      </c>
    </row>
    <row r="3877" spans="1:4" x14ac:dyDescent="0.25">
      <c r="A3877" s="89" t="s">
        <v>158</v>
      </c>
      <c r="B3877" s="89" t="s">
        <v>615</v>
      </c>
      <c r="C3877" s="89">
        <v>74118.97</v>
      </c>
      <c r="D3877" s="89" t="s">
        <v>666</v>
      </c>
    </row>
    <row r="3878" spans="1:4" x14ac:dyDescent="0.25">
      <c r="A3878" s="89" t="s">
        <v>158</v>
      </c>
      <c r="B3878" s="89" t="s">
        <v>615</v>
      </c>
      <c r="C3878" s="89">
        <v>207462.11</v>
      </c>
      <c r="D3878" s="89" t="s">
        <v>664</v>
      </c>
    </row>
    <row r="3879" spans="1:4" x14ac:dyDescent="0.25">
      <c r="A3879" s="89" t="s">
        <v>158</v>
      </c>
      <c r="B3879" s="89" t="s">
        <v>615</v>
      </c>
      <c r="C3879" s="89">
        <v>927780.57</v>
      </c>
      <c r="D3879" s="89" t="s">
        <v>663</v>
      </c>
    </row>
    <row r="3880" spans="1:4" x14ac:dyDescent="0.25">
      <c r="A3880" s="89" t="s">
        <v>158</v>
      </c>
      <c r="B3880" s="89" t="s">
        <v>615</v>
      </c>
      <c r="C3880" s="89">
        <v>186513.93</v>
      </c>
      <c r="D3880" s="89" t="s">
        <v>666</v>
      </c>
    </row>
    <row r="3881" spans="1:4" x14ac:dyDescent="0.25">
      <c r="A3881" s="89" t="s">
        <v>158</v>
      </c>
      <c r="B3881" s="89" t="s">
        <v>615</v>
      </c>
      <c r="C3881" s="89">
        <v>581818</v>
      </c>
      <c r="D3881" s="89" t="s">
        <v>664</v>
      </c>
    </row>
    <row r="3882" spans="1:4" x14ac:dyDescent="0.25">
      <c r="A3882" s="89" t="s">
        <v>158</v>
      </c>
      <c r="B3882" s="89" t="s">
        <v>615</v>
      </c>
      <c r="C3882" s="89">
        <v>295775.08</v>
      </c>
      <c r="D3882" s="89" t="s">
        <v>666</v>
      </c>
    </row>
    <row r="3883" spans="1:4" x14ac:dyDescent="0.25">
      <c r="A3883" s="89" t="s">
        <v>158</v>
      </c>
      <c r="B3883" s="89" t="s">
        <v>615</v>
      </c>
      <c r="C3883" s="89">
        <v>3116803</v>
      </c>
      <c r="D3883" s="89" t="s">
        <v>664</v>
      </c>
    </row>
    <row r="3884" spans="1:4" x14ac:dyDescent="0.25">
      <c r="A3884" s="89" t="s">
        <v>158</v>
      </c>
      <c r="B3884" s="89" t="s">
        <v>615</v>
      </c>
      <c r="C3884" s="89">
        <v>147849</v>
      </c>
      <c r="D3884" s="89" t="s">
        <v>666</v>
      </c>
    </row>
    <row r="3885" spans="1:4" x14ac:dyDescent="0.25">
      <c r="A3885" s="89" t="s">
        <v>158</v>
      </c>
      <c r="B3885" s="89" t="s">
        <v>615</v>
      </c>
      <c r="C3885" s="89">
        <v>18887781.16</v>
      </c>
      <c r="D3885" s="89" t="s">
        <v>663</v>
      </c>
    </row>
    <row r="3886" spans="1:4" x14ac:dyDescent="0.25">
      <c r="A3886" s="89" t="s">
        <v>158</v>
      </c>
      <c r="B3886" s="89" t="s">
        <v>615</v>
      </c>
      <c r="C3886" s="89">
        <v>1165287.18</v>
      </c>
      <c r="D3886" s="89" t="s">
        <v>664</v>
      </c>
    </row>
    <row r="3887" spans="1:4" x14ac:dyDescent="0.25">
      <c r="A3887" s="89" t="s">
        <v>158</v>
      </c>
      <c r="B3887" s="89" t="s">
        <v>615</v>
      </c>
      <c r="C3887" s="89">
        <v>249532.93</v>
      </c>
      <c r="D3887" s="89" t="s">
        <v>664</v>
      </c>
    </row>
    <row r="3888" spans="1:4" x14ac:dyDescent="0.25">
      <c r="A3888" s="89" t="s">
        <v>158</v>
      </c>
      <c r="B3888" s="89" t="s">
        <v>615</v>
      </c>
      <c r="C3888" s="89">
        <v>373554.38</v>
      </c>
      <c r="D3888" s="89" t="s">
        <v>664</v>
      </c>
    </row>
    <row r="3889" spans="1:4" x14ac:dyDescent="0.25">
      <c r="A3889" s="89" t="s">
        <v>158</v>
      </c>
      <c r="B3889" s="89" t="s">
        <v>615</v>
      </c>
      <c r="C3889" s="89">
        <v>1591919.87</v>
      </c>
      <c r="D3889" s="89" t="s">
        <v>663</v>
      </c>
    </row>
    <row r="3890" spans="1:4" x14ac:dyDescent="0.25">
      <c r="A3890" s="89" t="s">
        <v>78</v>
      </c>
      <c r="B3890" s="89" t="s">
        <v>617</v>
      </c>
      <c r="C3890" s="89">
        <v>729606</v>
      </c>
      <c r="D3890" s="89" t="s">
        <v>663</v>
      </c>
    </row>
    <row r="3891" spans="1:4" x14ac:dyDescent="0.25">
      <c r="A3891" s="89" t="s">
        <v>78</v>
      </c>
      <c r="B3891" s="89" t="s">
        <v>617</v>
      </c>
      <c r="C3891" s="89">
        <v>1029025</v>
      </c>
      <c r="D3891" s="89" t="s">
        <v>664</v>
      </c>
    </row>
    <row r="3892" spans="1:4" x14ac:dyDescent="0.25">
      <c r="A3892" s="89" t="s">
        <v>78</v>
      </c>
      <c r="B3892" s="89" t="s">
        <v>617</v>
      </c>
      <c r="C3892" s="89">
        <v>20000</v>
      </c>
      <c r="D3892" s="89" t="s">
        <v>666</v>
      </c>
    </row>
    <row r="3893" spans="1:4" x14ac:dyDescent="0.25">
      <c r="A3893" s="89" t="s">
        <v>78</v>
      </c>
      <c r="B3893" s="89" t="s">
        <v>617</v>
      </c>
      <c r="C3893" s="89">
        <v>613000</v>
      </c>
      <c r="D3893" s="89" t="s">
        <v>666</v>
      </c>
    </row>
    <row r="3894" spans="1:4" x14ac:dyDescent="0.25">
      <c r="A3894" s="89" t="s">
        <v>78</v>
      </c>
      <c r="B3894" s="89" t="s">
        <v>617</v>
      </c>
      <c r="C3894" s="89">
        <v>702312</v>
      </c>
      <c r="D3894" s="89" t="s">
        <v>663</v>
      </c>
    </row>
    <row r="3895" spans="1:4" x14ac:dyDescent="0.25">
      <c r="A3895" s="89" t="s">
        <v>78</v>
      </c>
      <c r="B3895" s="89" t="s">
        <v>617</v>
      </c>
      <c r="C3895" s="89">
        <v>510964</v>
      </c>
      <c r="D3895" s="89" t="s">
        <v>663</v>
      </c>
    </row>
    <row r="3896" spans="1:4" x14ac:dyDescent="0.25">
      <c r="A3896" s="89" t="s">
        <v>78</v>
      </c>
      <c r="B3896" s="89" t="s">
        <v>617</v>
      </c>
      <c r="C3896" s="89">
        <v>600000</v>
      </c>
      <c r="D3896" s="89" t="s">
        <v>663</v>
      </c>
    </row>
    <row r="3897" spans="1:4" x14ac:dyDescent="0.25">
      <c r="A3897" s="89" t="s">
        <v>78</v>
      </c>
      <c r="B3897" s="89" t="s">
        <v>617</v>
      </c>
      <c r="C3897" s="89">
        <v>877198</v>
      </c>
      <c r="D3897" s="89" t="s">
        <v>663</v>
      </c>
    </row>
    <row r="3898" spans="1:4" x14ac:dyDescent="0.25">
      <c r="A3898" s="89" t="s">
        <v>78</v>
      </c>
      <c r="B3898" s="89" t="s">
        <v>617</v>
      </c>
      <c r="C3898" s="89">
        <v>200000</v>
      </c>
      <c r="D3898" s="89" t="s">
        <v>663</v>
      </c>
    </row>
    <row r="3899" spans="1:4" x14ac:dyDescent="0.25">
      <c r="A3899" s="89" t="s">
        <v>78</v>
      </c>
      <c r="B3899" s="89" t="s">
        <v>617</v>
      </c>
      <c r="C3899" s="89">
        <v>53855.19</v>
      </c>
      <c r="D3899" s="89" t="s">
        <v>663</v>
      </c>
    </row>
    <row r="3900" spans="1:4" x14ac:dyDescent="0.25">
      <c r="A3900" s="89" t="s">
        <v>78</v>
      </c>
      <c r="B3900" s="89" t="s">
        <v>617</v>
      </c>
      <c r="C3900" s="89">
        <v>116583</v>
      </c>
      <c r="D3900" s="89" t="s">
        <v>664</v>
      </c>
    </row>
    <row r="3901" spans="1:4" x14ac:dyDescent="0.25">
      <c r="A3901" s="89" t="s">
        <v>78</v>
      </c>
      <c r="B3901" s="89" t="s">
        <v>617</v>
      </c>
      <c r="C3901" s="89">
        <v>96726</v>
      </c>
      <c r="D3901" s="89" t="s">
        <v>664</v>
      </c>
    </row>
    <row r="3902" spans="1:4" x14ac:dyDescent="0.25">
      <c r="A3902" s="89" t="s">
        <v>78</v>
      </c>
      <c r="B3902" s="89" t="s">
        <v>617</v>
      </c>
      <c r="C3902" s="89">
        <v>490153</v>
      </c>
      <c r="D3902" s="89" t="s">
        <v>666</v>
      </c>
    </row>
    <row r="3903" spans="1:4" x14ac:dyDescent="0.25">
      <c r="A3903" s="89" t="s">
        <v>78</v>
      </c>
      <c r="B3903" s="89" t="s">
        <v>617</v>
      </c>
      <c r="C3903" s="89">
        <v>728096</v>
      </c>
      <c r="D3903" s="89" t="s">
        <v>663</v>
      </c>
    </row>
    <row r="3904" spans="1:4" x14ac:dyDescent="0.25">
      <c r="A3904" s="89" t="s">
        <v>78</v>
      </c>
      <c r="B3904" s="89" t="s">
        <v>617</v>
      </c>
      <c r="C3904" s="89">
        <v>424615.57</v>
      </c>
      <c r="D3904" s="89" t="s">
        <v>664</v>
      </c>
    </row>
    <row r="3905" spans="1:4" x14ac:dyDescent="0.25">
      <c r="A3905" s="89" t="s">
        <v>78</v>
      </c>
      <c r="B3905" s="89" t="s">
        <v>617</v>
      </c>
      <c r="C3905" s="89">
        <v>141684</v>
      </c>
      <c r="D3905" s="89" t="s">
        <v>666</v>
      </c>
    </row>
    <row r="3906" spans="1:4" x14ac:dyDescent="0.25">
      <c r="A3906" s="89" t="s">
        <v>78</v>
      </c>
      <c r="B3906" s="89" t="s">
        <v>617</v>
      </c>
      <c r="C3906" s="89">
        <v>228910</v>
      </c>
      <c r="D3906" s="89" t="s">
        <v>664</v>
      </c>
    </row>
    <row r="3907" spans="1:4" x14ac:dyDescent="0.25">
      <c r="A3907" s="89" t="s">
        <v>78</v>
      </c>
      <c r="B3907" s="89" t="s">
        <v>617</v>
      </c>
      <c r="C3907" s="89">
        <v>1281541</v>
      </c>
      <c r="D3907" s="89" t="s">
        <v>664</v>
      </c>
    </row>
    <row r="3908" spans="1:4" x14ac:dyDescent="0.25">
      <c r="A3908" s="89" t="s">
        <v>78</v>
      </c>
      <c r="B3908" s="89" t="s">
        <v>617</v>
      </c>
      <c r="C3908" s="89">
        <v>979118.49</v>
      </c>
      <c r="D3908" s="89" t="s">
        <v>663</v>
      </c>
    </row>
    <row r="3909" spans="1:4" x14ac:dyDescent="0.25">
      <c r="A3909" s="89" t="s">
        <v>78</v>
      </c>
      <c r="B3909" s="89" t="s">
        <v>617</v>
      </c>
      <c r="C3909" s="89">
        <v>1205416</v>
      </c>
      <c r="D3909" s="89" t="s">
        <v>666</v>
      </c>
    </row>
    <row r="3910" spans="1:4" x14ac:dyDescent="0.25">
      <c r="A3910" s="89" t="s">
        <v>78</v>
      </c>
      <c r="B3910" s="89" t="s">
        <v>617</v>
      </c>
      <c r="C3910" s="89">
        <v>476982.94</v>
      </c>
      <c r="D3910" s="89" t="s">
        <v>664</v>
      </c>
    </row>
    <row r="3911" spans="1:4" x14ac:dyDescent="0.25">
      <c r="A3911" s="89" t="s">
        <v>78</v>
      </c>
      <c r="B3911" s="89" t="s">
        <v>617</v>
      </c>
      <c r="C3911" s="89">
        <v>3402363</v>
      </c>
      <c r="D3911" s="89" t="s">
        <v>664</v>
      </c>
    </row>
    <row r="3912" spans="1:4" x14ac:dyDescent="0.25">
      <c r="A3912" s="89" t="s">
        <v>78</v>
      </c>
      <c r="B3912" s="89" t="s">
        <v>617</v>
      </c>
      <c r="C3912" s="89">
        <v>426051</v>
      </c>
      <c r="D3912" s="89" t="s">
        <v>663</v>
      </c>
    </row>
    <row r="3913" spans="1:4" x14ac:dyDescent="0.25">
      <c r="A3913" s="89" t="s">
        <v>78</v>
      </c>
      <c r="B3913" s="89" t="s">
        <v>617</v>
      </c>
      <c r="C3913" s="89">
        <v>554340.79</v>
      </c>
      <c r="D3913" s="89" t="s">
        <v>666</v>
      </c>
    </row>
    <row r="3914" spans="1:4" x14ac:dyDescent="0.25">
      <c r="A3914" s="89" t="s">
        <v>78</v>
      </c>
      <c r="B3914" s="89" t="s">
        <v>617</v>
      </c>
      <c r="C3914" s="89">
        <v>50000</v>
      </c>
      <c r="D3914" s="89" t="s">
        <v>666</v>
      </c>
    </row>
    <row r="3915" spans="1:4" x14ac:dyDescent="0.25">
      <c r="A3915" s="89" t="s">
        <v>78</v>
      </c>
      <c r="B3915" s="89" t="s">
        <v>617</v>
      </c>
      <c r="C3915" s="89">
        <v>726876</v>
      </c>
      <c r="D3915" s="89" t="s">
        <v>666</v>
      </c>
    </row>
    <row r="3916" spans="1:4" x14ac:dyDescent="0.25">
      <c r="A3916" s="89" t="s">
        <v>78</v>
      </c>
      <c r="B3916" s="89" t="s">
        <v>617</v>
      </c>
      <c r="C3916" s="89">
        <v>1105676</v>
      </c>
      <c r="D3916" s="89" t="s">
        <v>666</v>
      </c>
    </row>
    <row r="3917" spans="1:4" x14ac:dyDescent="0.25">
      <c r="A3917" s="89" t="s">
        <v>78</v>
      </c>
      <c r="B3917" s="89" t="s">
        <v>617</v>
      </c>
      <c r="C3917" s="89">
        <v>2368657</v>
      </c>
      <c r="D3917" s="89" t="s">
        <v>663</v>
      </c>
    </row>
    <row r="3918" spans="1:4" x14ac:dyDescent="0.25">
      <c r="A3918" s="89" t="s">
        <v>78</v>
      </c>
      <c r="B3918" s="89" t="s">
        <v>617</v>
      </c>
      <c r="C3918" s="89">
        <v>1855158.4</v>
      </c>
      <c r="D3918" s="89" t="s">
        <v>666</v>
      </c>
    </row>
    <row r="3919" spans="1:4" x14ac:dyDescent="0.25">
      <c r="A3919" s="89" t="s">
        <v>78</v>
      </c>
      <c r="B3919" s="89" t="s">
        <v>617</v>
      </c>
      <c r="C3919" s="89">
        <v>902914.64</v>
      </c>
      <c r="D3919" s="89" t="s">
        <v>663</v>
      </c>
    </row>
    <row r="3920" spans="1:4" x14ac:dyDescent="0.25">
      <c r="A3920" s="89" t="s">
        <v>78</v>
      </c>
      <c r="B3920" s="89" t="s">
        <v>617</v>
      </c>
      <c r="C3920" s="89">
        <v>1530572</v>
      </c>
      <c r="D3920" s="89" t="s">
        <v>666</v>
      </c>
    </row>
    <row r="3921" spans="1:4" x14ac:dyDescent="0.25">
      <c r="A3921" s="89" t="s">
        <v>78</v>
      </c>
      <c r="B3921" s="89" t="s">
        <v>617</v>
      </c>
      <c r="C3921" s="89">
        <v>50000</v>
      </c>
      <c r="D3921" s="89" t="s">
        <v>666</v>
      </c>
    </row>
    <row r="3922" spans="1:4" x14ac:dyDescent="0.25">
      <c r="A3922" s="89" t="s">
        <v>78</v>
      </c>
      <c r="B3922" s="89" t="s">
        <v>617</v>
      </c>
      <c r="C3922" s="89">
        <v>379678</v>
      </c>
      <c r="D3922" s="89" t="s">
        <v>666</v>
      </c>
    </row>
    <row r="3923" spans="1:4" x14ac:dyDescent="0.25">
      <c r="A3923" s="89" t="s">
        <v>78</v>
      </c>
      <c r="B3923" s="89" t="s">
        <v>617</v>
      </c>
      <c r="C3923" s="89">
        <v>200000</v>
      </c>
      <c r="D3923" s="89" t="s">
        <v>663</v>
      </c>
    </row>
    <row r="3924" spans="1:4" x14ac:dyDescent="0.25">
      <c r="A3924" s="89" t="s">
        <v>78</v>
      </c>
      <c r="B3924" s="89" t="s">
        <v>617</v>
      </c>
      <c r="C3924" s="89">
        <v>807640.95</v>
      </c>
      <c r="D3924" s="89" t="s">
        <v>663</v>
      </c>
    </row>
    <row r="3925" spans="1:4" x14ac:dyDescent="0.25">
      <c r="A3925" s="89" t="s">
        <v>78</v>
      </c>
      <c r="B3925" s="89" t="s">
        <v>617</v>
      </c>
      <c r="C3925" s="89">
        <v>75000</v>
      </c>
      <c r="D3925" s="89" t="s">
        <v>666</v>
      </c>
    </row>
    <row r="3926" spans="1:4" x14ac:dyDescent="0.25">
      <c r="A3926" s="89" t="s">
        <v>78</v>
      </c>
      <c r="B3926" s="89" t="s">
        <v>617</v>
      </c>
      <c r="C3926" s="89">
        <v>289640</v>
      </c>
      <c r="D3926" s="89" t="s">
        <v>664</v>
      </c>
    </row>
    <row r="3927" spans="1:4" x14ac:dyDescent="0.25">
      <c r="A3927" s="89" t="s">
        <v>78</v>
      </c>
      <c r="B3927" s="89" t="s">
        <v>617</v>
      </c>
      <c r="C3927" s="89">
        <v>110203</v>
      </c>
      <c r="D3927" s="89" t="s">
        <v>666</v>
      </c>
    </row>
    <row r="3928" spans="1:4" x14ac:dyDescent="0.25">
      <c r="A3928" s="89" t="s">
        <v>78</v>
      </c>
      <c r="B3928" s="89" t="s">
        <v>617</v>
      </c>
      <c r="C3928" s="89">
        <v>858720</v>
      </c>
      <c r="D3928" s="89" t="s">
        <v>666</v>
      </c>
    </row>
    <row r="3929" spans="1:4" x14ac:dyDescent="0.25">
      <c r="A3929" s="89" t="s">
        <v>78</v>
      </c>
      <c r="B3929" s="89" t="s">
        <v>617</v>
      </c>
      <c r="C3929" s="89">
        <v>559696</v>
      </c>
      <c r="D3929" s="89" t="s">
        <v>663</v>
      </c>
    </row>
    <row r="3930" spans="1:4" x14ac:dyDescent="0.25">
      <c r="A3930" s="89" t="s">
        <v>78</v>
      </c>
      <c r="B3930" s="89" t="s">
        <v>617</v>
      </c>
      <c r="C3930" s="89">
        <v>465832</v>
      </c>
      <c r="D3930" s="89" t="s">
        <v>664</v>
      </c>
    </row>
    <row r="3931" spans="1:4" x14ac:dyDescent="0.25">
      <c r="A3931" s="89" t="s">
        <v>78</v>
      </c>
      <c r="B3931" s="89" t="s">
        <v>617</v>
      </c>
      <c r="C3931" s="89">
        <v>210307</v>
      </c>
      <c r="D3931" s="89" t="s">
        <v>666</v>
      </c>
    </row>
    <row r="3932" spans="1:4" x14ac:dyDescent="0.25">
      <c r="A3932" s="89" t="s">
        <v>78</v>
      </c>
      <c r="B3932" s="89" t="s">
        <v>617</v>
      </c>
      <c r="C3932" s="89">
        <v>378097</v>
      </c>
      <c r="D3932" s="89" t="s">
        <v>663</v>
      </c>
    </row>
    <row r="3933" spans="1:4" x14ac:dyDescent="0.25">
      <c r="A3933" s="89" t="s">
        <v>78</v>
      </c>
      <c r="B3933" s="89" t="s">
        <v>617</v>
      </c>
      <c r="C3933" s="89">
        <v>553511.43999999994</v>
      </c>
      <c r="D3933" s="89" t="s">
        <v>664</v>
      </c>
    </row>
    <row r="3934" spans="1:4" x14ac:dyDescent="0.25">
      <c r="A3934" s="89" t="s">
        <v>78</v>
      </c>
      <c r="B3934" s="89" t="s">
        <v>617</v>
      </c>
      <c r="C3934" s="89">
        <v>2438379</v>
      </c>
      <c r="D3934" s="89" t="s">
        <v>663</v>
      </c>
    </row>
    <row r="3935" spans="1:4" x14ac:dyDescent="0.25">
      <c r="A3935" s="89" t="s">
        <v>78</v>
      </c>
      <c r="B3935" s="89" t="s">
        <v>617</v>
      </c>
      <c r="C3935" s="89">
        <v>319477</v>
      </c>
      <c r="D3935" s="89" t="s">
        <v>666</v>
      </c>
    </row>
    <row r="3936" spans="1:4" x14ac:dyDescent="0.25">
      <c r="A3936" s="89" t="s">
        <v>78</v>
      </c>
      <c r="B3936" s="89" t="s">
        <v>617</v>
      </c>
      <c r="C3936" s="89">
        <v>250000</v>
      </c>
      <c r="D3936" s="89" t="s">
        <v>663</v>
      </c>
    </row>
    <row r="3937" spans="1:4" x14ac:dyDescent="0.25">
      <c r="A3937" s="89" t="s">
        <v>78</v>
      </c>
      <c r="B3937" s="89" t="s">
        <v>617</v>
      </c>
      <c r="C3937" s="89">
        <v>528075.29</v>
      </c>
      <c r="D3937" s="89" t="s">
        <v>664</v>
      </c>
    </row>
    <row r="3938" spans="1:4" x14ac:dyDescent="0.25">
      <c r="A3938" s="89" t="s">
        <v>78</v>
      </c>
      <c r="B3938" s="89" t="s">
        <v>617</v>
      </c>
      <c r="C3938" s="89">
        <v>653162.71</v>
      </c>
      <c r="D3938" s="89" t="s">
        <v>664</v>
      </c>
    </row>
    <row r="3939" spans="1:4" x14ac:dyDescent="0.25">
      <c r="A3939" s="89" t="s">
        <v>78</v>
      </c>
      <c r="B3939" s="89" t="s">
        <v>617</v>
      </c>
      <c r="C3939" s="89">
        <v>725092.5</v>
      </c>
      <c r="D3939" s="89" t="s">
        <v>663</v>
      </c>
    </row>
    <row r="3940" spans="1:4" x14ac:dyDescent="0.25">
      <c r="A3940" s="89" t="s">
        <v>78</v>
      </c>
      <c r="B3940" s="89" t="s">
        <v>617</v>
      </c>
      <c r="C3940" s="89">
        <v>726722</v>
      </c>
      <c r="D3940" s="89" t="s">
        <v>663</v>
      </c>
    </row>
    <row r="3941" spans="1:4" x14ac:dyDescent="0.25">
      <c r="A3941" s="89" t="s">
        <v>78</v>
      </c>
      <c r="B3941" s="89" t="s">
        <v>617</v>
      </c>
      <c r="C3941" s="89">
        <v>346165</v>
      </c>
      <c r="D3941" s="89" t="s">
        <v>666</v>
      </c>
    </row>
    <row r="3942" spans="1:4" x14ac:dyDescent="0.25">
      <c r="A3942" s="89" t="s">
        <v>78</v>
      </c>
      <c r="B3942" s="89" t="s">
        <v>617</v>
      </c>
      <c r="C3942" s="89">
        <v>3064866</v>
      </c>
      <c r="D3942" s="89" t="s">
        <v>664</v>
      </c>
    </row>
    <row r="3943" spans="1:4" x14ac:dyDescent="0.25">
      <c r="A3943" s="89" t="s">
        <v>78</v>
      </c>
      <c r="B3943" s="89" t="s">
        <v>617</v>
      </c>
      <c r="C3943" s="89">
        <v>385963</v>
      </c>
      <c r="D3943" s="89" t="s">
        <v>664</v>
      </c>
    </row>
    <row r="3944" spans="1:4" x14ac:dyDescent="0.25">
      <c r="A3944" s="89" t="s">
        <v>78</v>
      </c>
      <c r="B3944" s="89" t="s">
        <v>617</v>
      </c>
      <c r="C3944" s="89">
        <v>580883</v>
      </c>
      <c r="D3944" s="89" t="s">
        <v>663</v>
      </c>
    </row>
    <row r="3945" spans="1:4" x14ac:dyDescent="0.25">
      <c r="A3945" s="89" t="s">
        <v>78</v>
      </c>
      <c r="B3945" s="89" t="s">
        <v>617</v>
      </c>
      <c r="C3945" s="89">
        <v>1807803</v>
      </c>
      <c r="D3945" s="89" t="s">
        <v>663</v>
      </c>
    </row>
    <row r="3946" spans="1:4" x14ac:dyDescent="0.25">
      <c r="A3946" s="89" t="s">
        <v>78</v>
      </c>
      <c r="B3946" s="89" t="s">
        <v>617</v>
      </c>
      <c r="C3946" s="89">
        <v>1046449</v>
      </c>
      <c r="D3946" s="89" t="s">
        <v>663</v>
      </c>
    </row>
    <row r="3947" spans="1:4" x14ac:dyDescent="0.25">
      <c r="A3947" s="89" t="s">
        <v>78</v>
      </c>
      <c r="B3947" s="89" t="s">
        <v>617</v>
      </c>
      <c r="C3947" s="89">
        <v>6044023</v>
      </c>
      <c r="D3947" s="89" t="s">
        <v>664</v>
      </c>
    </row>
    <row r="3948" spans="1:4" x14ac:dyDescent="0.25">
      <c r="A3948" s="89" t="s">
        <v>78</v>
      </c>
      <c r="B3948" s="89" t="s">
        <v>617</v>
      </c>
      <c r="C3948" s="89">
        <v>2720100</v>
      </c>
      <c r="D3948" s="89" t="s">
        <v>666</v>
      </c>
    </row>
    <row r="3949" spans="1:4" x14ac:dyDescent="0.25">
      <c r="A3949" s="89" t="s">
        <v>78</v>
      </c>
      <c r="B3949" s="89" t="s">
        <v>617</v>
      </c>
      <c r="C3949" s="89">
        <v>690364.9</v>
      </c>
      <c r="D3949" s="89" t="s">
        <v>663</v>
      </c>
    </row>
    <row r="3950" spans="1:4" x14ac:dyDescent="0.25">
      <c r="A3950" s="89" t="s">
        <v>78</v>
      </c>
      <c r="B3950" s="89" t="s">
        <v>617</v>
      </c>
      <c r="C3950" s="89">
        <v>121788.78</v>
      </c>
      <c r="D3950" s="89" t="s">
        <v>664</v>
      </c>
    </row>
    <row r="3951" spans="1:4" x14ac:dyDescent="0.25">
      <c r="A3951" s="89" t="s">
        <v>78</v>
      </c>
      <c r="B3951" s="89" t="s">
        <v>617</v>
      </c>
      <c r="C3951" s="89">
        <v>330771</v>
      </c>
      <c r="D3951" s="89" t="s">
        <v>664</v>
      </c>
    </row>
    <row r="3952" spans="1:4" x14ac:dyDescent="0.25">
      <c r="A3952" s="89" t="s">
        <v>78</v>
      </c>
      <c r="B3952" s="89" t="s">
        <v>617</v>
      </c>
      <c r="C3952" s="89">
        <v>287113</v>
      </c>
      <c r="D3952" s="89" t="s">
        <v>664</v>
      </c>
    </row>
    <row r="3953" spans="1:4" x14ac:dyDescent="0.25">
      <c r="A3953" s="89" t="s">
        <v>78</v>
      </c>
      <c r="B3953" s="89" t="s">
        <v>617</v>
      </c>
      <c r="C3953" s="89">
        <v>1393500.28</v>
      </c>
      <c r="D3953" s="89" t="s">
        <v>664</v>
      </c>
    </row>
    <row r="3954" spans="1:4" x14ac:dyDescent="0.25">
      <c r="A3954" s="89" t="s">
        <v>78</v>
      </c>
      <c r="B3954" s="89" t="s">
        <v>617</v>
      </c>
      <c r="C3954" s="89">
        <v>5232919</v>
      </c>
      <c r="D3954" s="89" t="s">
        <v>666</v>
      </c>
    </row>
    <row r="3955" spans="1:4" x14ac:dyDescent="0.25">
      <c r="A3955" s="89" t="s">
        <v>78</v>
      </c>
      <c r="B3955" s="89" t="s">
        <v>617</v>
      </c>
      <c r="C3955" s="89">
        <v>241388</v>
      </c>
      <c r="D3955" s="89" t="s">
        <v>663</v>
      </c>
    </row>
    <row r="3956" spans="1:4" x14ac:dyDescent="0.25">
      <c r="A3956" s="89" t="s">
        <v>78</v>
      </c>
      <c r="B3956" s="89" t="s">
        <v>617</v>
      </c>
      <c r="C3956" s="89">
        <v>1491586.01</v>
      </c>
      <c r="D3956" s="89" t="s">
        <v>663</v>
      </c>
    </row>
    <row r="3957" spans="1:4" x14ac:dyDescent="0.25">
      <c r="A3957" s="89" t="s">
        <v>78</v>
      </c>
      <c r="B3957" s="89" t="s">
        <v>617</v>
      </c>
      <c r="C3957" s="89">
        <v>452496</v>
      </c>
      <c r="D3957" s="89" t="s">
        <v>663</v>
      </c>
    </row>
    <row r="3958" spans="1:4" x14ac:dyDescent="0.25">
      <c r="A3958" s="89" t="s">
        <v>78</v>
      </c>
      <c r="B3958" s="89" t="s">
        <v>617</v>
      </c>
      <c r="C3958" s="89">
        <v>100000</v>
      </c>
      <c r="D3958" s="89" t="s">
        <v>666</v>
      </c>
    </row>
    <row r="3959" spans="1:4" x14ac:dyDescent="0.25">
      <c r="A3959" s="89" t="s">
        <v>78</v>
      </c>
      <c r="B3959" s="89" t="s">
        <v>617</v>
      </c>
      <c r="C3959" s="89">
        <v>703833</v>
      </c>
      <c r="D3959" s="89" t="s">
        <v>663</v>
      </c>
    </row>
    <row r="3960" spans="1:4" x14ac:dyDescent="0.25">
      <c r="A3960" s="89" t="s">
        <v>78</v>
      </c>
      <c r="B3960" s="89" t="s">
        <v>617</v>
      </c>
      <c r="C3960" s="89">
        <v>1482704.22</v>
      </c>
      <c r="D3960" s="89" t="s">
        <v>663</v>
      </c>
    </row>
    <row r="3961" spans="1:4" x14ac:dyDescent="0.25">
      <c r="A3961" s="89" t="s">
        <v>31</v>
      </c>
      <c r="B3961" s="89" t="s">
        <v>616</v>
      </c>
      <c r="C3961" s="89">
        <v>39274</v>
      </c>
      <c r="D3961" s="89" t="s">
        <v>666</v>
      </c>
    </row>
    <row r="3962" spans="1:4" x14ac:dyDescent="0.25">
      <c r="A3962" s="89" t="s">
        <v>31</v>
      </c>
      <c r="B3962" s="89" t="s">
        <v>616</v>
      </c>
      <c r="C3962" s="89">
        <v>350325</v>
      </c>
      <c r="D3962" s="89" t="s">
        <v>664</v>
      </c>
    </row>
    <row r="3963" spans="1:4" x14ac:dyDescent="0.25">
      <c r="A3963" s="89" t="s">
        <v>31</v>
      </c>
      <c r="B3963" s="89" t="s">
        <v>616</v>
      </c>
      <c r="C3963" s="89">
        <v>564477</v>
      </c>
      <c r="D3963" s="89" t="s">
        <v>663</v>
      </c>
    </row>
    <row r="3964" spans="1:4" x14ac:dyDescent="0.25">
      <c r="A3964" s="89" t="s">
        <v>31</v>
      </c>
      <c r="B3964" s="89" t="s">
        <v>616</v>
      </c>
      <c r="C3964" s="89">
        <v>177355</v>
      </c>
      <c r="D3964" s="89" t="s">
        <v>666</v>
      </c>
    </row>
    <row r="3965" spans="1:4" x14ac:dyDescent="0.25">
      <c r="A3965" s="89" t="s">
        <v>31</v>
      </c>
      <c r="B3965" s="89" t="s">
        <v>616</v>
      </c>
      <c r="C3965" s="89">
        <v>1017897</v>
      </c>
      <c r="D3965" s="89" t="s">
        <v>664</v>
      </c>
    </row>
    <row r="3966" spans="1:4" x14ac:dyDescent="0.25">
      <c r="A3966" s="89" t="s">
        <v>31</v>
      </c>
      <c r="B3966" s="89" t="s">
        <v>616</v>
      </c>
      <c r="C3966" s="89">
        <v>618223</v>
      </c>
      <c r="D3966" s="89" t="s">
        <v>664</v>
      </c>
    </row>
    <row r="3967" spans="1:4" x14ac:dyDescent="0.25">
      <c r="A3967" s="89" t="s">
        <v>31</v>
      </c>
      <c r="B3967" s="89" t="s">
        <v>616</v>
      </c>
      <c r="C3967" s="89">
        <v>224941</v>
      </c>
      <c r="D3967" s="89" t="s">
        <v>666</v>
      </c>
    </row>
    <row r="3968" spans="1:4" x14ac:dyDescent="0.25">
      <c r="A3968" s="89" t="s">
        <v>31</v>
      </c>
      <c r="B3968" s="89" t="s">
        <v>616</v>
      </c>
      <c r="C3968" s="89">
        <v>268819</v>
      </c>
      <c r="D3968" s="89" t="s">
        <v>666</v>
      </c>
    </row>
    <row r="3969" spans="1:4" x14ac:dyDescent="0.25">
      <c r="A3969" s="89" t="s">
        <v>31</v>
      </c>
      <c r="B3969" s="89" t="s">
        <v>616</v>
      </c>
      <c r="C3969" s="89">
        <v>394913</v>
      </c>
      <c r="D3969" s="89" t="s">
        <v>663</v>
      </c>
    </row>
    <row r="3970" spans="1:4" x14ac:dyDescent="0.25">
      <c r="A3970" s="89" t="s">
        <v>31</v>
      </c>
      <c r="B3970" s="89" t="s">
        <v>616</v>
      </c>
      <c r="C3970" s="89">
        <v>185544</v>
      </c>
      <c r="D3970" s="89" t="s">
        <v>664</v>
      </c>
    </row>
    <row r="3971" spans="1:4" x14ac:dyDescent="0.25">
      <c r="A3971" s="89" t="s">
        <v>31</v>
      </c>
      <c r="B3971" s="89" t="s">
        <v>616</v>
      </c>
      <c r="C3971" s="89">
        <v>72953</v>
      </c>
      <c r="D3971" s="89" t="s">
        <v>664</v>
      </c>
    </row>
    <row r="3972" spans="1:4" x14ac:dyDescent="0.25">
      <c r="A3972" s="89" t="s">
        <v>31</v>
      </c>
      <c r="B3972" s="89" t="s">
        <v>616</v>
      </c>
      <c r="C3972" s="89">
        <v>31688</v>
      </c>
      <c r="D3972" s="89" t="s">
        <v>666</v>
      </c>
    </row>
    <row r="3973" spans="1:4" x14ac:dyDescent="0.25">
      <c r="A3973" s="89" t="s">
        <v>31</v>
      </c>
      <c r="B3973" s="89" t="s">
        <v>616</v>
      </c>
      <c r="C3973" s="89">
        <v>95014</v>
      </c>
      <c r="D3973" s="89" t="s">
        <v>663</v>
      </c>
    </row>
    <row r="3974" spans="1:4" x14ac:dyDescent="0.25">
      <c r="A3974" s="89" t="s">
        <v>31</v>
      </c>
      <c r="B3974" s="89" t="s">
        <v>616</v>
      </c>
      <c r="C3974" s="89">
        <v>255257</v>
      </c>
      <c r="D3974" s="89" t="s">
        <v>664</v>
      </c>
    </row>
    <row r="3975" spans="1:4" x14ac:dyDescent="0.25">
      <c r="A3975" s="89" t="s">
        <v>31</v>
      </c>
      <c r="B3975" s="89" t="s">
        <v>616</v>
      </c>
      <c r="C3975" s="89">
        <v>177240</v>
      </c>
      <c r="D3975" s="89" t="s">
        <v>666</v>
      </c>
    </row>
    <row r="3976" spans="1:4" x14ac:dyDescent="0.25">
      <c r="A3976" s="89" t="s">
        <v>31</v>
      </c>
      <c r="B3976" s="89" t="s">
        <v>616</v>
      </c>
      <c r="C3976" s="89">
        <v>770278</v>
      </c>
      <c r="D3976" s="89" t="s">
        <v>663</v>
      </c>
    </row>
    <row r="3977" spans="1:4" x14ac:dyDescent="0.25">
      <c r="A3977" s="89" t="s">
        <v>31</v>
      </c>
      <c r="B3977" s="89" t="s">
        <v>616</v>
      </c>
      <c r="C3977" s="89">
        <v>98598</v>
      </c>
      <c r="D3977" s="89" t="s">
        <v>663</v>
      </c>
    </row>
    <row r="3978" spans="1:4" x14ac:dyDescent="0.25">
      <c r="A3978" s="89" t="s">
        <v>31</v>
      </c>
      <c r="B3978" s="89" t="s">
        <v>616</v>
      </c>
      <c r="C3978" s="89">
        <v>420500</v>
      </c>
      <c r="D3978" s="89" t="s">
        <v>663</v>
      </c>
    </row>
    <row r="3979" spans="1:4" x14ac:dyDescent="0.25">
      <c r="A3979" s="89" t="s">
        <v>31</v>
      </c>
      <c r="B3979" s="89" t="s">
        <v>616</v>
      </c>
      <c r="C3979" s="89">
        <v>151608</v>
      </c>
      <c r="D3979" s="89" t="s">
        <v>666</v>
      </c>
    </row>
    <row r="3980" spans="1:4" x14ac:dyDescent="0.25">
      <c r="A3980" s="89" t="s">
        <v>31</v>
      </c>
      <c r="B3980" s="89" t="s">
        <v>616</v>
      </c>
      <c r="C3980" s="89">
        <v>241695</v>
      </c>
      <c r="D3980" s="89" t="s">
        <v>664</v>
      </c>
    </row>
    <row r="3981" spans="1:4" x14ac:dyDescent="0.25">
      <c r="A3981" s="89" t="s">
        <v>31</v>
      </c>
      <c r="B3981" s="89" t="s">
        <v>616</v>
      </c>
      <c r="C3981" s="89">
        <v>453179</v>
      </c>
      <c r="D3981" s="89" t="s">
        <v>663</v>
      </c>
    </row>
    <row r="3982" spans="1:4" x14ac:dyDescent="0.25">
      <c r="A3982" s="89" t="s">
        <v>31</v>
      </c>
      <c r="B3982" s="89" t="s">
        <v>616</v>
      </c>
      <c r="C3982" s="89">
        <v>531531</v>
      </c>
      <c r="D3982" s="89" t="s">
        <v>664</v>
      </c>
    </row>
    <row r="3983" spans="1:4" x14ac:dyDescent="0.25">
      <c r="A3983" s="89" t="s">
        <v>31</v>
      </c>
      <c r="B3983" s="89" t="s">
        <v>616</v>
      </c>
      <c r="C3983" s="89">
        <v>200895</v>
      </c>
      <c r="D3983" s="89" t="s">
        <v>666</v>
      </c>
    </row>
    <row r="3984" spans="1:4" x14ac:dyDescent="0.25">
      <c r="A3984" s="89" t="s">
        <v>31</v>
      </c>
      <c r="B3984" s="89" t="s">
        <v>616</v>
      </c>
      <c r="C3984" s="89">
        <v>555561</v>
      </c>
      <c r="D3984" s="89" t="s">
        <v>663</v>
      </c>
    </row>
    <row r="3985" spans="1:4" x14ac:dyDescent="0.25">
      <c r="A3985" s="89" t="s">
        <v>31</v>
      </c>
      <c r="B3985" s="89" t="s">
        <v>616</v>
      </c>
      <c r="C3985" s="89">
        <v>673169</v>
      </c>
      <c r="D3985" s="89" t="s">
        <v>663</v>
      </c>
    </row>
    <row r="3986" spans="1:4" x14ac:dyDescent="0.25">
      <c r="A3986" s="89" t="s">
        <v>31</v>
      </c>
      <c r="B3986" s="89" t="s">
        <v>616</v>
      </c>
      <c r="C3986" s="89">
        <v>1523269</v>
      </c>
      <c r="D3986" s="89" t="s">
        <v>663</v>
      </c>
    </row>
    <row r="3987" spans="1:4" x14ac:dyDescent="0.25">
      <c r="A3987" s="89" t="s">
        <v>31</v>
      </c>
      <c r="B3987" s="89" t="s">
        <v>616</v>
      </c>
      <c r="C3987" s="89">
        <v>424922</v>
      </c>
      <c r="D3987" s="89" t="s">
        <v>666</v>
      </c>
    </row>
    <row r="3988" spans="1:4" x14ac:dyDescent="0.25">
      <c r="A3988" s="89" t="s">
        <v>31</v>
      </c>
      <c r="B3988" s="89" t="s">
        <v>616</v>
      </c>
      <c r="C3988" s="89">
        <v>580296</v>
      </c>
      <c r="D3988" s="89" t="s">
        <v>664</v>
      </c>
    </row>
    <row r="3989" spans="1:4" x14ac:dyDescent="0.25">
      <c r="A3989" s="89" t="s">
        <v>31</v>
      </c>
      <c r="B3989" s="89" t="s">
        <v>616</v>
      </c>
      <c r="C3989" s="89">
        <v>93849</v>
      </c>
      <c r="D3989" s="89" t="s">
        <v>666</v>
      </c>
    </row>
    <row r="3990" spans="1:4" x14ac:dyDescent="0.25">
      <c r="A3990" s="89" t="s">
        <v>31</v>
      </c>
      <c r="B3990" s="89" t="s">
        <v>616</v>
      </c>
      <c r="C3990" s="89">
        <v>116779</v>
      </c>
      <c r="D3990" s="89" t="s">
        <v>663</v>
      </c>
    </row>
    <row r="3991" spans="1:4" x14ac:dyDescent="0.25">
      <c r="A3991" s="89" t="s">
        <v>31</v>
      </c>
      <c r="B3991" s="89" t="s">
        <v>616</v>
      </c>
      <c r="C3991" s="89">
        <v>45704</v>
      </c>
      <c r="D3991" s="89" t="s">
        <v>664</v>
      </c>
    </row>
    <row r="3992" spans="1:4" x14ac:dyDescent="0.25">
      <c r="A3992" s="89" t="s">
        <v>31</v>
      </c>
      <c r="B3992" s="89" t="s">
        <v>616</v>
      </c>
      <c r="C3992" s="89">
        <v>50000</v>
      </c>
      <c r="D3992" s="89" t="s">
        <v>666</v>
      </c>
    </row>
    <row r="3993" spans="1:4" x14ac:dyDescent="0.25">
      <c r="A3993" s="89" t="s">
        <v>31</v>
      </c>
      <c r="B3993" s="89" t="s">
        <v>616</v>
      </c>
      <c r="C3993" s="89">
        <v>350395</v>
      </c>
      <c r="D3993" s="89" t="s">
        <v>664</v>
      </c>
    </row>
    <row r="3994" spans="1:4" x14ac:dyDescent="0.25">
      <c r="A3994" s="89" t="s">
        <v>31</v>
      </c>
      <c r="B3994" s="89" t="s">
        <v>616</v>
      </c>
      <c r="C3994" s="89">
        <v>129359</v>
      </c>
      <c r="D3994" s="89" t="s">
        <v>666</v>
      </c>
    </row>
    <row r="3995" spans="1:4" x14ac:dyDescent="0.25">
      <c r="A3995" s="89" t="s">
        <v>31</v>
      </c>
      <c r="B3995" s="89" t="s">
        <v>616</v>
      </c>
      <c r="C3995" s="89">
        <v>841026</v>
      </c>
      <c r="D3995" s="89" t="s">
        <v>663</v>
      </c>
    </row>
    <row r="3996" spans="1:4" x14ac:dyDescent="0.25">
      <c r="A3996" s="89" t="s">
        <v>31</v>
      </c>
      <c r="B3996" s="89" t="s">
        <v>616</v>
      </c>
      <c r="C3996" s="89">
        <v>69480</v>
      </c>
      <c r="D3996" s="89" t="s">
        <v>666</v>
      </c>
    </row>
    <row r="3997" spans="1:4" x14ac:dyDescent="0.25">
      <c r="A3997" s="89" t="s">
        <v>31</v>
      </c>
      <c r="B3997" s="89" t="s">
        <v>616</v>
      </c>
      <c r="C3997" s="89">
        <v>123141</v>
      </c>
      <c r="D3997" s="89" t="s">
        <v>664</v>
      </c>
    </row>
    <row r="3998" spans="1:4" x14ac:dyDescent="0.25">
      <c r="A3998" s="89" t="s">
        <v>31</v>
      </c>
      <c r="B3998" s="89" t="s">
        <v>616</v>
      </c>
      <c r="C3998" s="89">
        <v>1566141</v>
      </c>
      <c r="D3998" s="89" t="s">
        <v>664</v>
      </c>
    </row>
    <row r="3999" spans="1:4" x14ac:dyDescent="0.25">
      <c r="A3999" s="89" t="s">
        <v>31</v>
      </c>
      <c r="B3999" s="89" t="s">
        <v>616</v>
      </c>
      <c r="C3999" s="89">
        <v>189944</v>
      </c>
      <c r="D3999" s="89" t="s">
        <v>664</v>
      </c>
    </row>
    <row r="4000" spans="1:4" x14ac:dyDescent="0.25">
      <c r="A4000" s="89" t="s">
        <v>31</v>
      </c>
      <c r="B4000" s="89" t="s">
        <v>616</v>
      </c>
      <c r="C4000" s="89">
        <v>-8494.6200000000008</v>
      </c>
      <c r="D4000" s="89" t="s">
        <v>664</v>
      </c>
    </row>
    <row r="4001" spans="1:4" x14ac:dyDescent="0.25">
      <c r="A4001" s="89" t="s">
        <v>31</v>
      </c>
      <c r="B4001" s="89" t="s">
        <v>616</v>
      </c>
      <c r="C4001" s="89">
        <v>-94395.9</v>
      </c>
      <c r="D4001" s="89" t="s">
        <v>666</v>
      </c>
    </row>
    <row r="4002" spans="1:4" x14ac:dyDescent="0.25">
      <c r="A4002" s="89" t="s">
        <v>31</v>
      </c>
      <c r="B4002" s="89" t="s">
        <v>616</v>
      </c>
      <c r="C4002" s="89">
        <v>89601</v>
      </c>
      <c r="D4002" s="89" t="s">
        <v>664</v>
      </c>
    </row>
    <row r="4003" spans="1:4" x14ac:dyDescent="0.25">
      <c r="A4003" s="89" t="s">
        <v>31</v>
      </c>
      <c r="B4003" s="89" t="s">
        <v>616</v>
      </c>
      <c r="C4003" s="89">
        <v>100000</v>
      </c>
      <c r="D4003" s="89" t="s">
        <v>666</v>
      </c>
    </row>
    <row r="4004" spans="1:4" x14ac:dyDescent="0.25">
      <c r="A4004" s="89" t="s">
        <v>31</v>
      </c>
      <c r="B4004" s="89" t="s">
        <v>616</v>
      </c>
      <c r="C4004" s="89">
        <v>703945</v>
      </c>
      <c r="D4004" s="89" t="s">
        <v>664</v>
      </c>
    </row>
    <row r="4005" spans="1:4" x14ac:dyDescent="0.25">
      <c r="A4005" s="89" t="s">
        <v>31</v>
      </c>
      <c r="B4005" s="89" t="s">
        <v>616</v>
      </c>
      <c r="C4005" s="89">
        <v>2059465</v>
      </c>
      <c r="D4005" s="89" t="s">
        <v>666</v>
      </c>
    </row>
    <row r="4006" spans="1:4" x14ac:dyDescent="0.25">
      <c r="A4006" s="89" t="s">
        <v>31</v>
      </c>
      <c r="B4006" s="89" t="s">
        <v>616</v>
      </c>
      <c r="C4006" s="89">
        <v>7147332</v>
      </c>
      <c r="D4006" s="89" t="s">
        <v>663</v>
      </c>
    </row>
    <row r="4007" spans="1:4" x14ac:dyDescent="0.25">
      <c r="A4007" s="89" t="s">
        <v>31</v>
      </c>
      <c r="B4007" s="89" t="s">
        <v>616</v>
      </c>
      <c r="C4007" s="89">
        <v>2135785</v>
      </c>
      <c r="D4007" s="89" t="s">
        <v>663</v>
      </c>
    </row>
    <row r="4008" spans="1:4" x14ac:dyDescent="0.25">
      <c r="A4008" s="89" t="s">
        <v>31</v>
      </c>
      <c r="B4008" s="89" t="s">
        <v>616</v>
      </c>
      <c r="C4008" s="89">
        <v>488672</v>
      </c>
      <c r="D4008" s="89" t="s">
        <v>664</v>
      </c>
    </row>
    <row r="4009" spans="1:4" x14ac:dyDescent="0.25">
      <c r="A4009" s="89" t="s">
        <v>31</v>
      </c>
      <c r="B4009" s="89" t="s">
        <v>616</v>
      </c>
      <c r="C4009" s="89">
        <v>205232</v>
      </c>
      <c r="D4009" s="89" t="s">
        <v>666</v>
      </c>
    </row>
    <row r="4010" spans="1:4" x14ac:dyDescent="0.25">
      <c r="A4010" s="89" t="s">
        <v>31</v>
      </c>
      <c r="B4010" s="89" t="s">
        <v>616</v>
      </c>
      <c r="C4010" s="89">
        <v>221479</v>
      </c>
      <c r="D4010" s="89" t="s">
        <v>664</v>
      </c>
    </row>
    <row r="4011" spans="1:4" x14ac:dyDescent="0.25">
      <c r="A4011" s="89" t="s">
        <v>31</v>
      </c>
      <c r="B4011" s="89" t="s">
        <v>616</v>
      </c>
      <c r="C4011" s="89">
        <v>422435</v>
      </c>
      <c r="D4011" s="89" t="s">
        <v>666</v>
      </c>
    </row>
    <row r="4012" spans="1:4" x14ac:dyDescent="0.25">
      <c r="A4012" s="89" t="s">
        <v>31</v>
      </c>
      <c r="B4012" s="89" t="s">
        <v>616</v>
      </c>
      <c r="C4012" s="89">
        <v>1792365</v>
      </c>
      <c r="D4012" s="89" t="s">
        <v>663</v>
      </c>
    </row>
    <row r="4013" spans="1:4" x14ac:dyDescent="0.25">
      <c r="A4013" s="89" t="s">
        <v>31</v>
      </c>
      <c r="B4013" s="89" t="s">
        <v>616</v>
      </c>
      <c r="C4013" s="89">
        <v>1162676</v>
      </c>
      <c r="D4013" s="89" t="s">
        <v>663</v>
      </c>
    </row>
    <row r="4014" spans="1:4" x14ac:dyDescent="0.25">
      <c r="A4014" s="89" t="s">
        <v>31</v>
      </c>
      <c r="B4014" s="89" t="s">
        <v>616</v>
      </c>
      <c r="C4014" s="89">
        <v>221925</v>
      </c>
      <c r="D4014" s="89" t="s">
        <v>664</v>
      </c>
    </row>
    <row r="4015" spans="1:4" x14ac:dyDescent="0.25">
      <c r="A4015" s="89" t="s">
        <v>31</v>
      </c>
      <c r="B4015" s="89" t="s">
        <v>616</v>
      </c>
      <c r="C4015" s="89">
        <v>400000</v>
      </c>
      <c r="D4015" s="89" t="s">
        <v>663</v>
      </c>
    </row>
    <row r="4016" spans="1:4" x14ac:dyDescent="0.25">
      <c r="A4016" s="89" t="s">
        <v>31</v>
      </c>
      <c r="B4016" s="89" t="s">
        <v>616</v>
      </c>
      <c r="C4016" s="89">
        <v>147410</v>
      </c>
      <c r="D4016" s="89" t="s">
        <v>664</v>
      </c>
    </row>
    <row r="4017" spans="1:4" x14ac:dyDescent="0.25">
      <c r="A4017" s="89" t="s">
        <v>31</v>
      </c>
      <c r="B4017" s="89" t="s">
        <v>616</v>
      </c>
      <c r="C4017" s="89">
        <v>6576647</v>
      </c>
      <c r="D4017" s="89" t="s">
        <v>663</v>
      </c>
    </row>
    <row r="4018" spans="1:4" x14ac:dyDescent="0.25">
      <c r="A4018" s="89" t="s">
        <v>31</v>
      </c>
      <c r="B4018" s="89" t="s">
        <v>616</v>
      </c>
      <c r="C4018" s="89">
        <v>1709262</v>
      </c>
      <c r="D4018" s="89" t="s">
        <v>664</v>
      </c>
    </row>
    <row r="4019" spans="1:4" x14ac:dyDescent="0.25">
      <c r="A4019" s="89" t="s">
        <v>31</v>
      </c>
      <c r="B4019" s="89" t="s">
        <v>616</v>
      </c>
      <c r="C4019" s="89">
        <v>-36521.19</v>
      </c>
      <c r="D4019" s="89" t="s">
        <v>663</v>
      </c>
    </row>
    <row r="4020" spans="1:4" x14ac:dyDescent="0.25">
      <c r="A4020" s="89" t="s">
        <v>31</v>
      </c>
      <c r="B4020" s="89" t="s">
        <v>616</v>
      </c>
      <c r="C4020" s="89">
        <v>949842</v>
      </c>
      <c r="D4020" s="89" t="s">
        <v>663</v>
      </c>
    </row>
    <row r="4021" spans="1:4" x14ac:dyDescent="0.25">
      <c r="A4021" s="89" t="s">
        <v>31</v>
      </c>
      <c r="B4021" s="89" t="s">
        <v>616</v>
      </c>
      <c r="C4021" s="89">
        <v>230191</v>
      </c>
      <c r="D4021" s="89" t="s">
        <v>664</v>
      </c>
    </row>
    <row r="4022" spans="1:4" x14ac:dyDescent="0.25">
      <c r="A4022" s="89" t="s">
        <v>31</v>
      </c>
      <c r="B4022" s="89" t="s">
        <v>616</v>
      </c>
      <c r="C4022" s="89">
        <v>443773</v>
      </c>
      <c r="D4022" s="89" t="s">
        <v>664</v>
      </c>
    </row>
    <row r="4023" spans="1:4" x14ac:dyDescent="0.25">
      <c r="A4023" s="89" t="s">
        <v>31</v>
      </c>
      <c r="B4023" s="89" t="s">
        <v>616</v>
      </c>
      <c r="C4023" s="89">
        <v>849454</v>
      </c>
      <c r="D4023" s="89" t="s">
        <v>664</v>
      </c>
    </row>
    <row r="4024" spans="1:4" x14ac:dyDescent="0.25">
      <c r="A4024" s="89" t="s">
        <v>31</v>
      </c>
      <c r="B4024" s="89" t="s">
        <v>616</v>
      </c>
      <c r="C4024" s="89">
        <v>727008</v>
      </c>
      <c r="D4024" s="89" t="s">
        <v>666</v>
      </c>
    </row>
    <row r="4025" spans="1:4" x14ac:dyDescent="0.25">
      <c r="A4025" s="89" t="s">
        <v>31</v>
      </c>
      <c r="B4025" s="89" t="s">
        <v>616</v>
      </c>
      <c r="C4025" s="89">
        <v>50000</v>
      </c>
      <c r="D4025" s="89" t="s">
        <v>666</v>
      </c>
    </row>
    <row r="4026" spans="1:4" x14ac:dyDescent="0.25">
      <c r="A4026" s="89" t="s">
        <v>31</v>
      </c>
      <c r="B4026" s="89" t="s">
        <v>616</v>
      </c>
      <c r="C4026" s="89">
        <v>2801465</v>
      </c>
      <c r="D4026" s="89" t="s">
        <v>663</v>
      </c>
    </row>
    <row r="4027" spans="1:4" x14ac:dyDescent="0.25">
      <c r="A4027" s="89" t="s">
        <v>31</v>
      </c>
      <c r="B4027" s="89" t="s">
        <v>616</v>
      </c>
      <c r="C4027" s="89">
        <v>1090398</v>
      </c>
      <c r="D4027" s="89" t="s">
        <v>666</v>
      </c>
    </row>
    <row r="4028" spans="1:4" x14ac:dyDescent="0.25">
      <c r="A4028" s="89" t="s">
        <v>77</v>
      </c>
      <c r="B4028" s="89" t="s">
        <v>617</v>
      </c>
      <c r="C4028" s="89">
        <v>2194062.87</v>
      </c>
      <c r="D4028" s="89" t="s">
        <v>666</v>
      </c>
    </row>
    <row r="4029" spans="1:4" x14ac:dyDescent="0.25">
      <c r="A4029" s="89" t="s">
        <v>77</v>
      </c>
      <c r="B4029" s="89" t="s">
        <v>617</v>
      </c>
      <c r="C4029" s="89">
        <v>2000000</v>
      </c>
      <c r="D4029" s="89" t="s">
        <v>663</v>
      </c>
    </row>
    <row r="4030" spans="1:4" x14ac:dyDescent="0.25">
      <c r="A4030" s="89" t="s">
        <v>77</v>
      </c>
      <c r="B4030" s="89" t="s">
        <v>617</v>
      </c>
      <c r="C4030" s="89">
        <v>276358</v>
      </c>
      <c r="D4030" s="89" t="s">
        <v>664</v>
      </c>
    </row>
    <row r="4031" spans="1:4" x14ac:dyDescent="0.25">
      <c r="A4031" s="89" t="s">
        <v>77</v>
      </c>
      <c r="B4031" s="89" t="s">
        <v>617</v>
      </c>
      <c r="C4031" s="89">
        <v>1000000</v>
      </c>
      <c r="D4031" s="89" t="s">
        <v>664</v>
      </c>
    </row>
    <row r="4032" spans="1:4" x14ac:dyDescent="0.25">
      <c r="A4032" s="89" t="s">
        <v>77</v>
      </c>
      <c r="B4032" s="89" t="s">
        <v>617</v>
      </c>
      <c r="C4032" s="89">
        <v>10216624</v>
      </c>
      <c r="D4032" s="89" t="s">
        <v>664</v>
      </c>
    </row>
    <row r="4033" spans="1:4" x14ac:dyDescent="0.25">
      <c r="A4033" s="89" t="s">
        <v>77</v>
      </c>
      <c r="B4033" s="89" t="s">
        <v>617</v>
      </c>
      <c r="C4033" s="89">
        <v>1776725</v>
      </c>
      <c r="D4033" s="89" t="s">
        <v>664</v>
      </c>
    </row>
    <row r="4034" spans="1:4" x14ac:dyDescent="0.25">
      <c r="A4034" s="89" t="s">
        <v>77</v>
      </c>
      <c r="B4034" s="89" t="s">
        <v>617</v>
      </c>
      <c r="C4034" s="89">
        <v>2500000</v>
      </c>
      <c r="D4034" s="89" t="s">
        <v>663</v>
      </c>
    </row>
    <row r="4035" spans="1:4" x14ac:dyDescent="0.25">
      <c r="A4035" s="89" t="s">
        <v>77</v>
      </c>
      <c r="B4035" s="89" t="s">
        <v>617</v>
      </c>
      <c r="C4035" s="89">
        <v>208493</v>
      </c>
      <c r="D4035" s="89" t="s">
        <v>664</v>
      </c>
    </row>
    <row r="4036" spans="1:4" x14ac:dyDescent="0.25">
      <c r="A4036" s="89" t="s">
        <v>77</v>
      </c>
      <c r="B4036" s="89" t="s">
        <v>617</v>
      </c>
      <c r="C4036" s="89">
        <v>77366</v>
      </c>
      <c r="D4036" s="89" t="s">
        <v>664</v>
      </c>
    </row>
    <row r="4037" spans="1:4" x14ac:dyDescent="0.25">
      <c r="A4037" s="89" t="s">
        <v>77</v>
      </c>
      <c r="B4037" s="89" t="s">
        <v>617</v>
      </c>
      <c r="C4037" s="89">
        <v>7653614.9100000001</v>
      </c>
      <c r="D4037" s="89" t="s">
        <v>664</v>
      </c>
    </row>
    <row r="4038" spans="1:4" x14ac:dyDescent="0.25">
      <c r="A4038" s="89" t="s">
        <v>77</v>
      </c>
      <c r="B4038" s="89" t="s">
        <v>617</v>
      </c>
      <c r="C4038" s="89">
        <v>3698125</v>
      </c>
      <c r="D4038" s="89" t="s">
        <v>663</v>
      </c>
    </row>
    <row r="4039" spans="1:4" x14ac:dyDescent="0.25">
      <c r="A4039" s="89" t="s">
        <v>77</v>
      </c>
      <c r="B4039" s="89" t="s">
        <v>617</v>
      </c>
      <c r="C4039" s="89">
        <v>-4605.37</v>
      </c>
      <c r="D4039" s="89" t="s">
        <v>663</v>
      </c>
    </row>
    <row r="4040" spans="1:4" x14ac:dyDescent="0.25">
      <c r="A4040" s="89" t="s">
        <v>77</v>
      </c>
      <c r="B4040" s="89" t="s">
        <v>617</v>
      </c>
      <c r="C4040" s="89">
        <v>729602.03</v>
      </c>
      <c r="D4040" s="89" t="s">
        <v>664</v>
      </c>
    </row>
    <row r="4041" spans="1:4" x14ac:dyDescent="0.25">
      <c r="A4041" s="89" t="s">
        <v>77</v>
      </c>
      <c r="B4041" s="89" t="s">
        <v>617</v>
      </c>
      <c r="C4041" s="89">
        <v>-68249</v>
      </c>
      <c r="D4041" s="89" t="s">
        <v>664</v>
      </c>
    </row>
    <row r="4042" spans="1:4" x14ac:dyDescent="0.25">
      <c r="A4042" s="89" t="s">
        <v>77</v>
      </c>
      <c r="B4042" s="89" t="s">
        <v>617</v>
      </c>
      <c r="C4042" s="89">
        <v>1183657.81</v>
      </c>
      <c r="D4042" s="89" t="s">
        <v>666</v>
      </c>
    </row>
    <row r="4043" spans="1:4" x14ac:dyDescent="0.25">
      <c r="A4043" s="89" t="s">
        <v>77</v>
      </c>
      <c r="B4043" s="89" t="s">
        <v>617</v>
      </c>
      <c r="C4043" s="89">
        <v>1345300.2</v>
      </c>
      <c r="D4043" s="89" t="s">
        <v>664</v>
      </c>
    </row>
    <row r="4044" spans="1:4" x14ac:dyDescent="0.25">
      <c r="A4044" s="89" t="s">
        <v>77</v>
      </c>
      <c r="B4044" s="89" t="s">
        <v>617</v>
      </c>
      <c r="C4044" s="89">
        <v>802412.46</v>
      </c>
      <c r="D4044" s="89" t="s">
        <v>664</v>
      </c>
    </row>
    <row r="4045" spans="1:4" x14ac:dyDescent="0.25">
      <c r="A4045" s="89" t="s">
        <v>77</v>
      </c>
      <c r="B4045" s="89" t="s">
        <v>617</v>
      </c>
      <c r="C4045" s="89">
        <v>2420618.39</v>
      </c>
      <c r="D4045" s="89" t="s">
        <v>664</v>
      </c>
    </row>
    <row r="4046" spans="1:4" x14ac:dyDescent="0.25">
      <c r="A4046" s="89" t="s">
        <v>77</v>
      </c>
      <c r="B4046" s="89" t="s">
        <v>617</v>
      </c>
      <c r="C4046" s="89">
        <v>176142.12</v>
      </c>
      <c r="D4046" s="89" t="s">
        <v>664</v>
      </c>
    </row>
    <row r="4047" spans="1:4" x14ac:dyDescent="0.25">
      <c r="A4047" s="89" t="s">
        <v>77</v>
      </c>
      <c r="B4047" s="89" t="s">
        <v>617</v>
      </c>
      <c r="C4047" s="89">
        <v>775665.06</v>
      </c>
      <c r="D4047" s="89" t="s">
        <v>664</v>
      </c>
    </row>
    <row r="4048" spans="1:4" x14ac:dyDescent="0.25">
      <c r="A4048" s="89" t="s">
        <v>77</v>
      </c>
      <c r="B4048" s="89" t="s">
        <v>617</v>
      </c>
      <c r="C4048" s="89">
        <v>438643.39</v>
      </c>
      <c r="D4048" s="89" t="s">
        <v>666</v>
      </c>
    </row>
    <row r="4049" spans="1:4" x14ac:dyDescent="0.25">
      <c r="A4049" s="89" t="s">
        <v>77</v>
      </c>
      <c r="B4049" s="89" t="s">
        <v>617</v>
      </c>
      <c r="C4049" s="89">
        <v>249441.87</v>
      </c>
      <c r="D4049" s="89" t="s">
        <v>664</v>
      </c>
    </row>
    <row r="4050" spans="1:4" x14ac:dyDescent="0.25">
      <c r="A4050" s="89" t="s">
        <v>77</v>
      </c>
      <c r="B4050" s="89" t="s">
        <v>617</v>
      </c>
      <c r="C4050" s="89">
        <v>1093100</v>
      </c>
      <c r="D4050" s="89" t="s">
        <v>664</v>
      </c>
    </row>
    <row r="4051" spans="1:4" x14ac:dyDescent="0.25">
      <c r="A4051" s="89" t="s">
        <v>77</v>
      </c>
      <c r="B4051" s="89" t="s">
        <v>617</v>
      </c>
      <c r="C4051" s="89">
        <v>1468834.09</v>
      </c>
      <c r="D4051" s="89" t="s">
        <v>666</v>
      </c>
    </row>
    <row r="4052" spans="1:4" x14ac:dyDescent="0.25">
      <c r="A4052" s="89" t="s">
        <v>77</v>
      </c>
      <c r="B4052" s="89" t="s">
        <v>617</v>
      </c>
      <c r="C4052" s="89">
        <v>4989924.53</v>
      </c>
      <c r="D4052" s="89" t="s">
        <v>664</v>
      </c>
    </row>
    <row r="4053" spans="1:4" x14ac:dyDescent="0.25">
      <c r="A4053" s="89" t="s">
        <v>77</v>
      </c>
      <c r="B4053" s="89" t="s">
        <v>617</v>
      </c>
      <c r="C4053" s="89">
        <v>850170</v>
      </c>
      <c r="D4053" s="89" t="s">
        <v>663</v>
      </c>
    </row>
    <row r="4054" spans="1:4" x14ac:dyDescent="0.25">
      <c r="A4054" s="89" t="s">
        <v>77</v>
      </c>
      <c r="B4054" s="89" t="s">
        <v>617</v>
      </c>
      <c r="C4054" s="89">
        <v>226924</v>
      </c>
      <c r="D4054" s="89" t="s">
        <v>664</v>
      </c>
    </row>
    <row r="4055" spans="1:4" x14ac:dyDescent="0.25">
      <c r="A4055" s="89" t="s">
        <v>77</v>
      </c>
      <c r="B4055" s="89" t="s">
        <v>617</v>
      </c>
      <c r="C4055" s="89">
        <v>-50600.57</v>
      </c>
      <c r="D4055" s="89" t="s">
        <v>664</v>
      </c>
    </row>
    <row r="4056" spans="1:4" x14ac:dyDescent="0.25">
      <c r="A4056" s="89" t="s">
        <v>77</v>
      </c>
      <c r="B4056" s="89" t="s">
        <v>617</v>
      </c>
      <c r="C4056" s="89">
        <v>342375</v>
      </c>
      <c r="D4056" s="89" t="s">
        <v>664</v>
      </c>
    </row>
    <row r="4057" spans="1:4" x14ac:dyDescent="0.25">
      <c r="A4057" s="89" t="s">
        <v>77</v>
      </c>
      <c r="B4057" s="89" t="s">
        <v>617</v>
      </c>
      <c r="C4057" s="89">
        <v>688716</v>
      </c>
      <c r="D4057" s="89" t="s">
        <v>664</v>
      </c>
    </row>
    <row r="4058" spans="1:4" x14ac:dyDescent="0.25">
      <c r="A4058" s="89" t="s">
        <v>77</v>
      </c>
      <c r="B4058" s="89" t="s">
        <v>617</v>
      </c>
      <c r="C4058" s="89">
        <v>2407044</v>
      </c>
      <c r="D4058" s="89" t="s">
        <v>664</v>
      </c>
    </row>
    <row r="4059" spans="1:4" x14ac:dyDescent="0.25">
      <c r="A4059" s="89" t="s">
        <v>77</v>
      </c>
      <c r="B4059" s="89" t="s">
        <v>617</v>
      </c>
      <c r="C4059" s="89">
        <v>2221264</v>
      </c>
      <c r="D4059" s="89" t="s">
        <v>663</v>
      </c>
    </row>
    <row r="4060" spans="1:4" x14ac:dyDescent="0.25">
      <c r="A4060" s="89" t="s">
        <v>77</v>
      </c>
      <c r="B4060" s="89" t="s">
        <v>617</v>
      </c>
      <c r="C4060" s="89">
        <v>475896</v>
      </c>
      <c r="D4060" s="89" t="s">
        <v>664</v>
      </c>
    </row>
    <row r="4061" spans="1:4" x14ac:dyDescent="0.25">
      <c r="A4061" s="89" t="s">
        <v>77</v>
      </c>
      <c r="B4061" s="89" t="s">
        <v>617</v>
      </c>
      <c r="C4061" s="89">
        <v>520864.4</v>
      </c>
      <c r="D4061" s="89" t="s">
        <v>666</v>
      </c>
    </row>
    <row r="4062" spans="1:4" x14ac:dyDescent="0.25">
      <c r="A4062" s="89" t="s">
        <v>77</v>
      </c>
      <c r="B4062" s="89" t="s">
        <v>617</v>
      </c>
      <c r="C4062" s="89">
        <v>800000</v>
      </c>
      <c r="D4062" s="89" t="s">
        <v>663</v>
      </c>
    </row>
    <row r="4063" spans="1:4" x14ac:dyDescent="0.25">
      <c r="A4063" s="89" t="s">
        <v>77</v>
      </c>
      <c r="B4063" s="89" t="s">
        <v>617</v>
      </c>
      <c r="C4063" s="89">
        <v>4727157.03</v>
      </c>
      <c r="D4063" s="89" t="s">
        <v>664</v>
      </c>
    </row>
    <row r="4064" spans="1:4" x14ac:dyDescent="0.25">
      <c r="A4064" s="89" t="s">
        <v>77</v>
      </c>
      <c r="B4064" s="89" t="s">
        <v>617</v>
      </c>
      <c r="C4064" s="89">
        <v>1019598.55</v>
      </c>
      <c r="D4064" s="89" t="s">
        <v>666</v>
      </c>
    </row>
    <row r="4065" spans="1:4" x14ac:dyDescent="0.25">
      <c r="A4065" s="89" t="s">
        <v>77</v>
      </c>
      <c r="B4065" s="89" t="s">
        <v>617</v>
      </c>
      <c r="C4065" s="89">
        <v>204696.41</v>
      </c>
      <c r="D4065" s="89" t="s">
        <v>664</v>
      </c>
    </row>
    <row r="4066" spans="1:4" x14ac:dyDescent="0.25">
      <c r="A4066" s="89" t="s">
        <v>77</v>
      </c>
      <c r="B4066" s="89" t="s">
        <v>617</v>
      </c>
      <c r="C4066" s="89">
        <v>150000</v>
      </c>
      <c r="D4066" s="89" t="s">
        <v>663</v>
      </c>
    </row>
    <row r="4067" spans="1:4" x14ac:dyDescent="0.25">
      <c r="A4067" s="89" t="s">
        <v>77</v>
      </c>
      <c r="B4067" s="89" t="s">
        <v>617</v>
      </c>
      <c r="C4067" s="89">
        <v>471108.52</v>
      </c>
      <c r="D4067" s="89" t="s">
        <v>664</v>
      </c>
    </row>
    <row r="4068" spans="1:4" x14ac:dyDescent="0.25">
      <c r="A4068" s="89" t="s">
        <v>77</v>
      </c>
      <c r="B4068" s="89" t="s">
        <v>617</v>
      </c>
      <c r="C4068" s="89">
        <v>1004622.45</v>
      </c>
      <c r="D4068" s="89" t="s">
        <v>664</v>
      </c>
    </row>
    <row r="4069" spans="1:4" x14ac:dyDescent="0.25">
      <c r="A4069" s="89" t="s">
        <v>77</v>
      </c>
      <c r="B4069" s="89" t="s">
        <v>617</v>
      </c>
      <c r="C4069" s="89">
        <v>411831.73</v>
      </c>
      <c r="D4069" s="89" t="s">
        <v>666</v>
      </c>
    </row>
    <row r="4070" spans="1:4" x14ac:dyDescent="0.25">
      <c r="A4070" s="89" t="s">
        <v>77</v>
      </c>
      <c r="B4070" s="89" t="s">
        <v>617</v>
      </c>
      <c r="C4070" s="89">
        <v>431429.32</v>
      </c>
      <c r="D4070" s="89" t="s">
        <v>663</v>
      </c>
    </row>
    <row r="4071" spans="1:4" x14ac:dyDescent="0.25">
      <c r="A4071" s="89" t="s">
        <v>77</v>
      </c>
      <c r="B4071" s="89" t="s">
        <v>617</v>
      </c>
      <c r="C4071" s="89">
        <v>1711443.15</v>
      </c>
      <c r="D4071" s="89" t="s">
        <v>663</v>
      </c>
    </row>
    <row r="4072" spans="1:4" x14ac:dyDescent="0.25">
      <c r="A4072" s="89" t="s">
        <v>77</v>
      </c>
      <c r="B4072" s="89" t="s">
        <v>617</v>
      </c>
      <c r="C4072" s="89">
        <v>394699</v>
      </c>
      <c r="D4072" s="89" t="s">
        <v>664</v>
      </c>
    </row>
    <row r="4073" spans="1:4" x14ac:dyDescent="0.25">
      <c r="A4073" s="89" t="s">
        <v>77</v>
      </c>
      <c r="B4073" s="89" t="s">
        <v>617</v>
      </c>
      <c r="C4073" s="89">
        <v>1321900</v>
      </c>
      <c r="D4073" s="89" t="s">
        <v>666</v>
      </c>
    </row>
    <row r="4074" spans="1:4" x14ac:dyDescent="0.25">
      <c r="A4074" s="89" t="s">
        <v>77</v>
      </c>
      <c r="B4074" s="89" t="s">
        <v>617</v>
      </c>
      <c r="C4074" s="89">
        <v>645976</v>
      </c>
      <c r="D4074" s="89" t="s">
        <v>664</v>
      </c>
    </row>
    <row r="4075" spans="1:4" x14ac:dyDescent="0.25">
      <c r="A4075" s="89" t="s">
        <v>77</v>
      </c>
      <c r="B4075" s="89" t="s">
        <v>617</v>
      </c>
      <c r="C4075" s="89">
        <v>983570</v>
      </c>
      <c r="D4075" s="89" t="s">
        <v>664</v>
      </c>
    </row>
    <row r="4076" spans="1:4" x14ac:dyDescent="0.25">
      <c r="A4076" s="89" t="s">
        <v>77</v>
      </c>
      <c r="B4076" s="89" t="s">
        <v>617</v>
      </c>
      <c r="C4076" s="89">
        <v>2392258.65</v>
      </c>
      <c r="D4076" s="89" t="s">
        <v>663</v>
      </c>
    </row>
    <row r="4077" spans="1:4" x14ac:dyDescent="0.25">
      <c r="A4077" s="89" t="s">
        <v>77</v>
      </c>
      <c r="B4077" s="89" t="s">
        <v>617</v>
      </c>
      <c r="C4077" s="89">
        <v>4308592.79</v>
      </c>
      <c r="D4077" s="89" t="s">
        <v>663</v>
      </c>
    </row>
    <row r="4078" spans="1:4" x14ac:dyDescent="0.25">
      <c r="A4078" s="89" t="s">
        <v>77</v>
      </c>
      <c r="B4078" s="89" t="s">
        <v>617</v>
      </c>
      <c r="C4078" s="89">
        <v>6280850</v>
      </c>
      <c r="D4078" s="89" t="s">
        <v>664</v>
      </c>
    </row>
    <row r="4079" spans="1:4" x14ac:dyDescent="0.25">
      <c r="A4079" s="89" t="s">
        <v>77</v>
      </c>
      <c r="B4079" s="89" t="s">
        <v>617</v>
      </c>
      <c r="C4079" s="89">
        <v>360945.44</v>
      </c>
      <c r="D4079" s="89" t="s">
        <v>663</v>
      </c>
    </row>
    <row r="4080" spans="1:4" x14ac:dyDescent="0.25">
      <c r="A4080" s="89" t="s">
        <v>77</v>
      </c>
      <c r="B4080" s="89" t="s">
        <v>617</v>
      </c>
      <c r="C4080" s="89">
        <v>1468900</v>
      </c>
      <c r="D4080" s="89" t="s">
        <v>666</v>
      </c>
    </row>
    <row r="4081" spans="1:4" x14ac:dyDescent="0.25">
      <c r="A4081" s="89" t="s">
        <v>77</v>
      </c>
      <c r="B4081" s="89" t="s">
        <v>617</v>
      </c>
      <c r="C4081" s="89">
        <v>-25429.46</v>
      </c>
      <c r="D4081" s="89" t="s">
        <v>664</v>
      </c>
    </row>
    <row r="4082" spans="1:4" x14ac:dyDescent="0.25">
      <c r="A4082" s="89" t="s">
        <v>77</v>
      </c>
      <c r="B4082" s="89" t="s">
        <v>617</v>
      </c>
      <c r="C4082" s="89">
        <v>1315800</v>
      </c>
      <c r="D4082" s="89" t="s">
        <v>663</v>
      </c>
    </row>
    <row r="4083" spans="1:4" x14ac:dyDescent="0.25">
      <c r="A4083" s="89" t="s">
        <v>77</v>
      </c>
      <c r="B4083" s="89" t="s">
        <v>617</v>
      </c>
      <c r="C4083" s="89">
        <v>4220508.58</v>
      </c>
      <c r="D4083" s="89" t="s">
        <v>663</v>
      </c>
    </row>
    <row r="4084" spans="1:4" x14ac:dyDescent="0.25">
      <c r="A4084" s="89" t="s">
        <v>77</v>
      </c>
      <c r="B4084" s="89" t="s">
        <v>617</v>
      </c>
      <c r="C4084" s="89">
        <v>-20631.400000000001</v>
      </c>
      <c r="D4084" s="89" t="s">
        <v>664</v>
      </c>
    </row>
    <row r="4085" spans="1:4" x14ac:dyDescent="0.25">
      <c r="A4085" s="89" t="s">
        <v>77</v>
      </c>
      <c r="B4085" s="89" t="s">
        <v>617</v>
      </c>
      <c r="C4085" s="89">
        <v>20631.400000000001</v>
      </c>
      <c r="D4085" s="89" t="s">
        <v>664</v>
      </c>
    </row>
    <row r="4086" spans="1:4" x14ac:dyDescent="0.25">
      <c r="A4086" s="89" t="s">
        <v>77</v>
      </c>
      <c r="B4086" s="89" t="s">
        <v>617</v>
      </c>
      <c r="C4086" s="89">
        <v>-20631.400000000001</v>
      </c>
      <c r="D4086" s="89" t="s">
        <v>664</v>
      </c>
    </row>
    <row r="4087" spans="1:4" x14ac:dyDescent="0.25">
      <c r="A4087" s="89" t="s">
        <v>77</v>
      </c>
      <c r="B4087" s="89" t="s">
        <v>617</v>
      </c>
      <c r="C4087" s="89">
        <v>1160342.1499999999</v>
      </c>
      <c r="D4087" s="89" t="s">
        <v>663</v>
      </c>
    </row>
    <row r="4088" spans="1:4" x14ac:dyDescent="0.25">
      <c r="A4088" s="89" t="s">
        <v>77</v>
      </c>
      <c r="B4088" s="89" t="s">
        <v>617</v>
      </c>
      <c r="C4088" s="89">
        <v>2659089.25</v>
      </c>
      <c r="D4088" s="89" t="s">
        <v>664</v>
      </c>
    </row>
    <row r="4089" spans="1:4" x14ac:dyDescent="0.25">
      <c r="A4089" s="89" t="s">
        <v>77</v>
      </c>
      <c r="B4089" s="89" t="s">
        <v>617</v>
      </c>
      <c r="C4089" s="89">
        <v>809471.45</v>
      </c>
      <c r="D4089" s="89" t="s">
        <v>666</v>
      </c>
    </row>
    <row r="4090" spans="1:4" x14ac:dyDescent="0.25">
      <c r="A4090" s="89" t="s">
        <v>77</v>
      </c>
      <c r="B4090" s="89" t="s">
        <v>617</v>
      </c>
      <c r="C4090" s="89">
        <v>933239.33</v>
      </c>
      <c r="D4090" s="89" t="s">
        <v>664</v>
      </c>
    </row>
    <row r="4091" spans="1:4" x14ac:dyDescent="0.25">
      <c r="A4091" s="89" t="s">
        <v>110</v>
      </c>
      <c r="B4091" s="89" t="s">
        <v>637</v>
      </c>
      <c r="C4091" s="89">
        <v>7572682</v>
      </c>
      <c r="D4091" s="89" t="s">
        <v>663</v>
      </c>
    </row>
    <row r="4092" spans="1:4" x14ac:dyDescent="0.25">
      <c r="A4092" s="89" t="s">
        <v>110</v>
      </c>
      <c r="B4092" s="89" t="s">
        <v>637</v>
      </c>
      <c r="C4092" s="89">
        <v>3168883</v>
      </c>
      <c r="D4092" s="89" t="s">
        <v>663</v>
      </c>
    </row>
    <row r="4093" spans="1:4" x14ac:dyDescent="0.25">
      <c r="A4093" s="89" t="s">
        <v>110</v>
      </c>
      <c r="B4093" s="89" t="s">
        <v>637</v>
      </c>
      <c r="C4093" s="89">
        <v>1275000</v>
      </c>
      <c r="D4093" s="89" t="s">
        <v>663</v>
      </c>
    </row>
    <row r="4094" spans="1:4" x14ac:dyDescent="0.25">
      <c r="A4094" s="89" t="s">
        <v>110</v>
      </c>
      <c r="B4094" s="89" t="s">
        <v>637</v>
      </c>
      <c r="C4094" s="89">
        <v>1161000</v>
      </c>
      <c r="D4094" s="89" t="s">
        <v>663</v>
      </c>
    </row>
    <row r="4095" spans="1:4" x14ac:dyDescent="0.25">
      <c r="A4095" s="89" t="s">
        <v>110</v>
      </c>
      <c r="B4095" s="89" t="s">
        <v>637</v>
      </c>
      <c r="C4095" s="89">
        <v>3785340.64</v>
      </c>
      <c r="D4095" s="89" t="s">
        <v>664</v>
      </c>
    </row>
    <row r="4096" spans="1:4" x14ac:dyDescent="0.25">
      <c r="A4096" s="89" t="s">
        <v>110</v>
      </c>
      <c r="B4096" s="89" t="s">
        <v>637</v>
      </c>
      <c r="C4096" s="89">
        <v>4268800</v>
      </c>
      <c r="D4096" s="89" t="s">
        <v>664</v>
      </c>
    </row>
    <row r="4097" spans="1:4" x14ac:dyDescent="0.25">
      <c r="A4097" s="89" t="s">
        <v>110</v>
      </c>
      <c r="B4097" s="89" t="s">
        <v>637</v>
      </c>
      <c r="C4097" s="89">
        <v>513090</v>
      </c>
      <c r="D4097" s="89" t="s">
        <v>663</v>
      </c>
    </row>
    <row r="4098" spans="1:4" x14ac:dyDescent="0.25">
      <c r="A4098" s="89" t="s">
        <v>110</v>
      </c>
      <c r="B4098" s="89" t="s">
        <v>637</v>
      </c>
      <c r="C4098" s="89">
        <v>1189168</v>
      </c>
      <c r="D4098" s="89" t="s">
        <v>663</v>
      </c>
    </row>
    <row r="4099" spans="1:4" x14ac:dyDescent="0.25">
      <c r="A4099" s="89" t="s">
        <v>110</v>
      </c>
      <c r="B4099" s="89" t="s">
        <v>637</v>
      </c>
      <c r="C4099" s="89">
        <v>820414</v>
      </c>
      <c r="D4099" s="89" t="s">
        <v>663</v>
      </c>
    </row>
    <row r="4100" spans="1:4" x14ac:dyDescent="0.25">
      <c r="A4100" s="89" t="s">
        <v>110</v>
      </c>
      <c r="B4100" s="89" t="s">
        <v>637</v>
      </c>
      <c r="C4100" s="89">
        <v>4582319</v>
      </c>
      <c r="D4100" s="89" t="s">
        <v>664</v>
      </c>
    </row>
    <row r="4101" spans="1:4" x14ac:dyDescent="0.25">
      <c r="A4101" s="89" t="s">
        <v>110</v>
      </c>
      <c r="B4101" s="89" t="s">
        <v>637</v>
      </c>
      <c r="C4101" s="89">
        <v>303215</v>
      </c>
      <c r="D4101" s="89" t="s">
        <v>663</v>
      </c>
    </row>
    <row r="4102" spans="1:4" x14ac:dyDescent="0.25">
      <c r="A4102" s="89" t="s">
        <v>110</v>
      </c>
      <c r="B4102" s="89" t="s">
        <v>637</v>
      </c>
      <c r="C4102" s="89">
        <v>1137225</v>
      </c>
      <c r="D4102" s="89" t="s">
        <v>663</v>
      </c>
    </row>
    <row r="4103" spans="1:4" x14ac:dyDescent="0.25">
      <c r="A4103" s="89" t="s">
        <v>110</v>
      </c>
      <c r="B4103" s="89" t="s">
        <v>637</v>
      </c>
      <c r="C4103" s="89">
        <v>3394227</v>
      </c>
      <c r="D4103" s="89" t="s">
        <v>663</v>
      </c>
    </row>
    <row r="4104" spans="1:4" x14ac:dyDescent="0.25">
      <c r="A4104" s="89" t="s">
        <v>110</v>
      </c>
      <c r="B4104" s="89" t="s">
        <v>637</v>
      </c>
      <c r="C4104" s="89">
        <v>4124673</v>
      </c>
      <c r="D4104" s="89" t="s">
        <v>664</v>
      </c>
    </row>
    <row r="4105" spans="1:4" x14ac:dyDescent="0.25">
      <c r="A4105" s="89" t="s">
        <v>110</v>
      </c>
      <c r="B4105" s="89" t="s">
        <v>637</v>
      </c>
      <c r="C4105" s="89">
        <v>4246874</v>
      </c>
      <c r="D4105" s="89" t="s">
        <v>664</v>
      </c>
    </row>
    <row r="4106" spans="1:4" x14ac:dyDescent="0.25">
      <c r="A4106" s="89" t="s">
        <v>110</v>
      </c>
      <c r="B4106" s="89" t="s">
        <v>637</v>
      </c>
      <c r="C4106" s="89">
        <v>1680000</v>
      </c>
      <c r="D4106" s="89" t="s">
        <v>664</v>
      </c>
    </row>
    <row r="4107" spans="1:4" x14ac:dyDescent="0.25">
      <c r="A4107" s="89" t="s">
        <v>110</v>
      </c>
      <c r="B4107" s="89" t="s">
        <v>637</v>
      </c>
      <c r="C4107" s="89">
        <v>1752000</v>
      </c>
      <c r="D4107" s="89" t="s">
        <v>664</v>
      </c>
    </row>
    <row r="4108" spans="1:4" x14ac:dyDescent="0.25">
      <c r="A4108" s="89" t="s">
        <v>110</v>
      </c>
      <c r="B4108" s="89" t="s">
        <v>637</v>
      </c>
      <c r="C4108" s="89">
        <v>2121219</v>
      </c>
      <c r="D4108" s="89" t="s">
        <v>664</v>
      </c>
    </row>
    <row r="4109" spans="1:4" x14ac:dyDescent="0.25">
      <c r="A4109" s="89" t="s">
        <v>110</v>
      </c>
      <c r="B4109" s="89" t="s">
        <v>637</v>
      </c>
      <c r="C4109" s="89">
        <v>1290074</v>
      </c>
      <c r="D4109" s="89" t="s">
        <v>664</v>
      </c>
    </row>
    <row r="4110" spans="1:4" x14ac:dyDescent="0.25">
      <c r="A4110" s="89" t="s">
        <v>110</v>
      </c>
      <c r="B4110" s="89" t="s">
        <v>637</v>
      </c>
      <c r="C4110" s="89">
        <v>43651</v>
      </c>
      <c r="D4110" s="89" t="s">
        <v>664</v>
      </c>
    </row>
    <row r="4111" spans="1:4" x14ac:dyDescent="0.25">
      <c r="A4111" s="89" t="s">
        <v>110</v>
      </c>
      <c r="B4111" s="89" t="s">
        <v>637</v>
      </c>
      <c r="C4111" s="89">
        <v>137446</v>
      </c>
      <c r="D4111" s="89" t="s">
        <v>664</v>
      </c>
    </row>
    <row r="4112" spans="1:4" x14ac:dyDescent="0.25">
      <c r="A4112" s="89" t="s">
        <v>110</v>
      </c>
      <c r="B4112" s="89" t="s">
        <v>637</v>
      </c>
      <c r="C4112" s="89">
        <v>17288638</v>
      </c>
      <c r="D4112" s="89" t="s">
        <v>664</v>
      </c>
    </row>
    <row r="4113" spans="1:4" x14ac:dyDescent="0.25">
      <c r="A4113" s="89" t="s">
        <v>110</v>
      </c>
      <c r="B4113" s="89" t="s">
        <v>637</v>
      </c>
      <c r="C4113" s="89">
        <v>2118404</v>
      </c>
      <c r="D4113" s="89" t="s">
        <v>664</v>
      </c>
    </row>
    <row r="4114" spans="1:4" x14ac:dyDescent="0.25">
      <c r="A4114" s="89" t="s">
        <v>110</v>
      </c>
      <c r="B4114" s="89" t="s">
        <v>637</v>
      </c>
      <c r="C4114" s="89">
        <v>606165</v>
      </c>
      <c r="D4114" s="89" t="s">
        <v>663</v>
      </c>
    </row>
    <row r="4115" spans="1:4" x14ac:dyDescent="0.25">
      <c r="A4115" s="89" t="s">
        <v>110</v>
      </c>
      <c r="B4115" s="89" t="s">
        <v>637</v>
      </c>
      <c r="C4115" s="89">
        <v>1839463</v>
      </c>
      <c r="D4115" s="89" t="s">
        <v>664</v>
      </c>
    </row>
    <row r="4116" spans="1:4" x14ac:dyDescent="0.25">
      <c r="A4116" s="89" t="s">
        <v>110</v>
      </c>
      <c r="B4116" s="89" t="s">
        <v>637</v>
      </c>
      <c r="C4116" s="89">
        <v>2347763</v>
      </c>
      <c r="D4116" s="89" t="s">
        <v>664</v>
      </c>
    </row>
    <row r="4117" spans="1:4" x14ac:dyDescent="0.25">
      <c r="A4117" s="89" t="s">
        <v>110</v>
      </c>
      <c r="B4117" s="89" t="s">
        <v>637</v>
      </c>
      <c r="C4117" s="89">
        <v>1054762</v>
      </c>
      <c r="D4117" s="89" t="s">
        <v>666</v>
      </c>
    </row>
    <row r="4118" spans="1:4" x14ac:dyDescent="0.25">
      <c r="A4118" s="89" t="s">
        <v>110</v>
      </c>
      <c r="B4118" s="89" t="s">
        <v>637</v>
      </c>
      <c r="C4118" s="89">
        <v>20235258</v>
      </c>
      <c r="D4118" s="89" t="s">
        <v>663</v>
      </c>
    </row>
    <row r="4119" spans="1:4" x14ac:dyDescent="0.25">
      <c r="A4119" s="89" t="s">
        <v>110</v>
      </c>
      <c r="B4119" s="89" t="s">
        <v>637</v>
      </c>
      <c r="C4119" s="89">
        <v>2709599</v>
      </c>
      <c r="D4119" s="89" t="s">
        <v>663</v>
      </c>
    </row>
    <row r="4120" spans="1:4" x14ac:dyDescent="0.25">
      <c r="A4120" s="89" t="s">
        <v>110</v>
      </c>
      <c r="B4120" s="89" t="s">
        <v>637</v>
      </c>
      <c r="C4120" s="89">
        <v>1907342</v>
      </c>
      <c r="D4120" s="89" t="s">
        <v>663</v>
      </c>
    </row>
    <row r="4121" spans="1:4" x14ac:dyDescent="0.25">
      <c r="A4121" s="89" t="s">
        <v>110</v>
      </c>
      <c r="B4121" s="89" t="s">
        <v>637</v>
      </c>
      <c r="C4121" s="89">
        <v>387097</v>
      </c>
      <c r="D4121" s="89" t="s">
        <v>664</v>
      </c>
    </row>
    <row r="4122" spans="1:4" x14ac:dyDescent="0.25">
      <c r="A4122" s="89" t="s">
        <v>110</v>
      </c>
      <c r="B4122" s="89" t="s">
        <v>637</v>
      </c>
      <c r="C4122" s="89">
        <v>74264982.420000002</v>
      </c>
      <c r="D4122" s="89" t="s">
        <v>664</v>
      </c>
    </row>
    <row r="4123" spans="1:4" x14ac:dyDescent="0.25">
      <c r="A4123" s="89" t="s">
        <v>110</v>
      </c>
      <c r="B4123" s="89" t="s">
        <v>637</v>
      </c>
      <c r="C4123" s="89">
        <v>66078172.840000004</v>
      </c>
      <c r="D4123" s="89" t="s">
        <v>664</v>
      </c>
    </row>
    <row r="4124" spans="1:4" x14ac:dyDescent="0.25">
      <c r="A4124" s="89" t="s">
        <v>110</v>
      </c>
      <c r="B4124" s="89" t="s">
        <v>637</v>
      </c>
      <c r="C4124" s="89">
        <v>7721243</v>
      </c>
      <c r="D4124" s="89" t="s">
        <v>666</v>
      </c>
    </row>
    <row r="4125" spans="1:4" x14ac:dyDescent="0.25">
      <c r="A4125" s="89" t="s">
        <v>110</v>
      </c>
      <c r="B4125" s="89" t="s">
        <v>637</v>
      </c>
      <c r="C4125" s="89">
        <v>28238593</v>
      </c>
      <c r="D4125" s="89" t="s">
        <v>664</v>
      </c>
    </row>
    <row r="4126" spans="1:4" x14ac:dyDescent="0.25">
      <c r="A4126" s="89" t="s">
        <v>110</v>
      </c>
      <c r="B4126" s="89" t="s">
        <v>637</v>
      </c>
      <c r="C4126" s="89">
        <v>20975288</v>
      </c>
      <c r="D4126" s="89" t="s">
        <v>665</v>
      </c>
    </row>
    <row r="4127" spans="1:4" x14ac:dyDescent="0.25">
      <c r="A4127" s="89" t="s">
        <v>110</v>
      </c>
      <c r="B4127" s="89" t="s">
        <v>637</v>
      </c>
      <c r="C4127" s="89">
        <v>6316552</v>
      </c>
      <c r="D4127" s="89" t="s">
        <v>664</v>
      </c>
    </row>
    <row r="4128" spans="1:4" x14ac:dyDescent="0.25">
      <c r="A4128" s="89" t="s">
        <v>110</v>
      </c>
      <c r="B4128" s="89" t="s">
        <v>637</v>
      </c>
      <c r="C4128" s="89">
        <v>5241794.16</v>
      </c>
      <c r="D4128" s="89" t="s">
        <v>664</v>
      </c>
    </row>
    <row r="4129" spans="1:4" x14ac:dyDescent="0.25">
      <c r="A4129" s="89" t="s">
        <v>110</v>
      </c>
      <c r="B4129" s="89" t="s">
        <v>637</v>
      </c>
      <c r="C4129" s="89">
        <v>4171135.72</v>
      </c>
      <c r="D4129" s="89" t="s">
        <v>664</v>
      </c>
    </row>
    <row r="4130" spans="1:4" x14ac:dyDescent="0.25">
      <c r="A4130" s="89" t="s">
        <v>110</v>
      </c>
      <c r="B4130" s="89" t="s">
        <v>637</v>
      </c>
      <c r="C4130" s="89">
        <v>454795</v>
      </c>
      <c r="D4130" s="89" t="s">
        <v>664</v>
      </c>
    </row>
    <row r="4131" spans="1:4" x14ac:dyDescent="0.25">
      <c r="A4131" s="89" t="s">
        <v>110</v>
      </c>
      <c r="B4131" s="89" t="s">
        <v>637</v>
      </c>
      <c r="C4131" s="89">
        <v>-159810.63</v>
      </c>
      <c r="D4131" s="89" t="s">
        <v>664</v>
      </c>
    </row>
    <row r="4132" spans="1:4" x14ac:dyDescent="0.25">
      <c r="A4132" s="89" t="s">
        <v>110</v>
      </c>
      <c r="B4132" s="89" t="s">
        <v>637</v>
      </c>
      <c r="C4132" s="89">
        <v>1471463</v>
      </c>
      <c r="D4132" s="89" t="s">
        <v>663</v>
      </c>
    </row>
    <row r="4133" spans="1:4" x14ac:dyDescent="0.25">
      <c r="A4133" s="89" t="s">
        <v>110</v>
      </c>
      <c r="B4133" s="89" t="s">
        <v>637</v>
      </c>
      <c r="C4133" s="89">
        <v>5376176.5199999996</v>
      </c>
      <c r="D4133" s="89" t="s">
        <v>664</v>
      </c>
    </row>
    <row r="4134" spans="1:4" x14ac:dyDescent="0.25">
      <c r="A4134" s="89" t="s">
        <v>110</v>
      </c>
      <c r="B4134" s="89" t="s">
        <v>637</v>
      </c>
      <c r="C4134" s="89">
        <v>2248292</v>
      </c>
      <c r="D4134" s="89" t="s">
        <v>666</v>
      </c>
    </row>
    <row r="4135" spans="1:4" x14ac:dyDescent="0.25">
      <c r="A4135" s="89" t="s">
        <v>110</v>
      </c>
      <c r="B4135" s="89" t="s">
        <v>637</v>
      </c>
      <c r="C4135" s="89">
        <v>716410</v>
      </c>
      <c r="D4135" s="89" t="s">
        <v>663</v>
      </c>
    </row>
    <row r="4136" spans="1:4" x14ac:dyDescent="0.25">
      <c r="A4136" s="89" t="s">
        <v>110</v>
      </c>
      <c r="B4136" s="89" t="s">
        <v>637</v>
      </c>
      <c r="C4136" s="89">
        <v>1547013</v>
      </c>
      <c r="D4136" s="89" t="s">
        <v>663</v>
      </c>
    </row>
    <row r="4137" spans="1:4" x14ac:dyDescent="0.25">
      <c r="A4137" s="89" t="s">
        <v>110</v>
      </c>
      <c r="B4137" s="89" t="s">
        <v>637</v>
      </c>
      <c r="C4137" s="89">
        <v>8087994</v>
      </c>
      <c r="D4137" s="89" t="s">
        <v>664</v>
      </c>
    </row>
    <row r="4138" spans="1:4" x14ac:dyDescent="0.25">
      <c r="A4138" s="89" t="s">
        <v>110</v>
      </c>
      <c r="B4138" s="89" t="s">
        <v>637</v>
      </c>
      <c r="C4138" s="89">
        <v>1488710</v>
      </c>
      <c r="D4138" s="89" t="s">
        <v>663</v>
      </c>
    </row>
    <row r="4139" spans="1:4" x14ac:dyDescent="0.25">
      <c r="A4139" s="89" t="s">
        <v>110</v>
      </c>
      <c r="B4139" s="89" t="s">
        <v>637</v>
      </c>
      <c r="C4139" s="89">
        <v>2630000</v>
      </c>
      <c r="D4139" s="89" t="s">
        <v>666</v>
      </c>
    </row>
    <row r="4140" spans="1:4" x14ac:dyDescent="0.25">
      <c r="A4140" s="89" t="s">
        <v>110</v>
      </c>
      <c r="B4140" s="89" t="s">
        <v>637</v>
      </c>
      <c r="C4140" s="89">
        <v>2205300</v>
      </c>
      <c r="D4140" s="89" t="s">
        <v>666</v>
      </c>
    </row>
    <row r="4141" spans="1:4" x14ac:dyDescent="0.25">
      <c r="A4141" s="89" t="s">
        <v>110</v>
      </c>
      <c r="B4141" s="89" t="s">
        <v>637</v>
      </c>
      <c r="C4141" s="89">
        <v>1890253</v>
      </c>
      <c r="D4141" s="89" t="s">
        <v>663</v>
      </c>
    </row>
    <row r="4142" spans="1:4" x14ac:dyDescent="0.25">
      <c r="A4142" s="89" t="s">
        <v>110</v>
      </c>
      <c r="B4142" s="89" t="s">
        <v>637</v>
      </c>
      <c r="C4142" s="89">
        <v>1431239</v>
      </c>
      <c r="D4142" s="89" t="s">
        <v>663</v>
      </c>
    </row>
    <row r="4143" spans="1:4" x14ac:dyDescent="0.25">
      <c r="A4143" s="89" t="s">
        <v>110</v>
      </c>
      <c r="B4143" s="89" t="s">
        <v>637</v>
      </c>
      <c r="C4143" s="89">
        <v>639444</v>
      </c>
      <c r="D4143" s="89" t="s">
        <v>663</v>
      </c>
    </row>
    <row r="4144" spans="1:4" x14ac:dyDescent="0.25">
      <c r="A4144" s="89" t="s">
        <v>110</v>
      </c>
      <c r="B4144" s="89" t="s">
        <v>637</v>
      </c>
      <c r="C4144" s="89">
        <v>340249.5</v>
      </c>
      <c r="D4144" s="89" t="s">
        <v>664</v>
      </c>
    </row>
    <row r="4145" spans="1:4" x14ac:dyDescent="0.25">
      <c r="A4145" s="89" t="s">
        <v>110</v>
      </c>
      <c r="B4145" s="89" t="s">
        <v>637</v>
      </c>
      <c r="C4145" s="89">
        <v>553920.5</v>
      </c>
      <c r="D4145" s="89" t="s">
        <v>664</v>
      </c>
    </row>
    <row r="4146" spans="1:4" x14ac:dyDescent="0.25">
      <c r="A4146" s="89" t="s">
        <v>110</v>
      </c>
      <c r="B4146" s="89" t="s">
        <v>637</v>
      </c>
      <c r="C4146" s="89">
        <v>10006509</v>
      </c>
      <c r="D4146" s="89" t="s">
        <v>664</v>
      </c>
    </row>
    <row r="4147" spans="1:4" x14ac:dyDescent="0.25">
      <c r="A4147" s="89" t="s">
        <v>110</v>
      </c>
      <c r="B4147" s="89" t="s">
        <v>637</v>
      </c>
      <c r="C4147" s="89">
        <v>5692399</v>
      </c>
      <c r="D4147" s="89" t="s">
        <v>663</v>
      </c>
    </row>
    <row r="4148" spans="1:4" x14ac:dyDescent="0.25">
      <c r="A4148" s="89" t="s">
        <v>110</v>
      </c>
      <c r="B4148" s="89" t="s">
        <v>637</v>
      </c>
      <c r="C4148" s="89">
        <v>3456508</v>
      </c>
      <c r="D4148" s="89" t="s">
        <v>663</v>
      </c>
    </row>
    <row r="4149" spans="1:4" x14ac:dyDescent="0.25">
      <c r="A4149" s="89" t="s">
        <v>110</v>
      </c>
      <c r="B4149" s="89" t="s">
        <v>637</v>
      </c>
      <c r="C4149" s="89">
        <v>3964717</v>
      </c>
      <c r="D4149" s="89" t="s">
        <v>663</v>
      </c>
    </row>
    <row r="4150" spans="1:4" x14ac:dyDescent="0.25">
      <c r="A4150" s="89" t="s">
        <v>110</v>
      </c>
      <c r="B4150" s="89" t="s">
        <v>637</v>
      </c>
      <c r="C4150" s="89">
        <v>1659975</v>
      </c>
      <c r="D4150" s="89" t="s">
        <v>664</v>
      </c>
    </row>
    <row r="4151" spans="1:4" x14ac:dyDescent="0.25">
      <c r="A4151" s="89" t="s">
        <v>110</v>
      </c>
      <c r="B4151" s="89" t="s">
        <v>637</v>
      </c>
      <c r="C4151" s="89">
        <v>1643572</v>
      </c>
      <c r="D4151" s="89" t="s">
        <v>664</v>
      </c>
    </row>
    <row r="4152" spans="1:4" x14ac:dyDescent="0.25">
      <c r="A4152" s="89" t="s">
        <v>110</v>
      </c>
      <c r="B4152" s="89" t="s">
        <v>637</v>
      </c>
      <c r="C4152" s="89">
        <v>115670</v>
      </c>
      <c r="D4152" s="89" t="s">
        <v>664</v>
      </c>
    </row>
    <row r="4153" spans="1:4" x14ac:dyDescent="0.25">
      <c r="A4153" s="89" t="s">
        <v>110</v>
      </c>
      <c r="B4153" s="89" t="s">
        <v>637</v>
      </c>
      <c r="C4153" s="89">
        <v>11030953</v>
      </c>
      <c r="D4153" s="89" t="s">
        <v>663</v>
      </c>
    </row>
    <row r="4154" spans="1:4" x14ac:dyDescent="0.25">
      <c r="A4154" s="89" t="s">
        <v>110</v>
      </c>
      <c r="B4154" s="89" t="s">
        <v>637</v>
      </c>
      <c r="C4154" s="89">
        <v>2673800</v>
      </c>
      <c r="D4154" s="89" t="s">
        <v>663</v>
      </c>
    </row>
    <row r="4155" spans="1:4" x14ac:dyDescent="0.25">
      <c r="A4155" s="89" t="s">
        <v>110</v>
      </c>
      <c r="B4155" s="89" t="s">
        <v>637</v>
      </c>
      <c r="C4155" s="89">
        <v>3536944</v>
      </c>
      <c r="D4155" s="89" t="s">
        <v>663</v>
      </c>
    </row>
    <row r="4156" spans="1:4" x14ac:dyDescent="0.25">
      <c r="A4156" s="89" t="s">
        <v>110</v>
      </c>
      <c r="B4156" s="89" t="s">
        <v>637</v>
      </c>
      <c r="C4156" s="89">
        <v>8444792</v>
      </c>
      <c r="D4156" s="89" t="s">
        <v>666</v>
      </c>
    </row>
    <row r="4157" spans="1:4" x14ac:dyDescent="0.25">
      <c r="A4157" s="89" t="s">
        <v>110</v>
      </c>
      <c r="B4157" s="89" t="s">
        <v>637</v>
      </c>
      <c r="C4157" s="89">
        <v>3407457</v>
      </c>
      <c r="D4157" s="89" t="s">
        <v>664</v>
      </c>
    </row>
    <row r="4158" spans="1:4" x14ac:dyDescent="0.25">
      <c r="A4158" s="89" t="s">
        <v>110</v>
      </c>
      <c r="B4158" s="89" t="s">
        <v>637</v>
      </c>
      <c r="C4158" s="89">
        <v>3574283.75</v>
      </c>
      <c r="D4158" s="89" t="s">
        <v>664</v>
      </c>
    </row>
    <row r="4159" spans="1:4" x14ac:dyDescent="0.25">
      <c r="A4159" s="89" t="s">
        <v>110</v>
      </c>
      <c r="B4159" s="89" t="s">
        <v>637</v>
      </c>
      <c r="C4159" s="89">
        <v>936160</v>
      </c>
      <c r="D4159" s="89" t="s">
        <v>663</v>
      </c>
    </row>
    <row r="4160" spans="1:4" x14ac:dyDescent="0.25">
      <c r="A4160" s="89" t="s">
        <v>110</v>
      </c>
      <c r="B4160" s="89" t="s">
        <v>637</v>
      </c>
      <c r="C4160" s="89">
        <v>1474091</v>
      </c>
      <c r="D4160" s="89" t="s">
        <v>663</v>
      </c>
    </row>
    <row r="4161" spans="1:4" x14ac:dyDescent="0.25">
      <c r="A4161" s="89" t="s">
        <v>110</v>
      </c>
      <c r="B4161" s="89" t="s">
        <v>637</v>
      </c>
      <c r="C4161" s="89">
        <v>2642877</v>
      </c>
      <c r="D4161" s="89" t="s">
        <v>666</v>
      </c>
    </row>
    <row r="4162" spans="1:4" x14ac:dyDescent="0.25">
      <c r="A4162" s="89" t="s">
        <v>110</v>
      </c>
      <c r="B4162" s="89" t="s">
        <v>637</v>
      </c>
      <c r="C4162" s="89">
        <v>4984618.25</v>
      </c>
      <c r="D4162" s="89" t="s">
        <v>664</v>
      </c>
    </row>
    <row r="4163" spans="1:4" x14ac:dyDescent="0.25">
      <c r="A4163" s="89" t="s">
        <v>110</v>
      </c>
      <c r="B4163" s="89" t="s">
        <v>637</v>
      </c>
      <c r="C4163" s="89">
        <v>11230456</v>
      </c>
      <c r="D4163" s="89" t="s">
        <v>663</v>
      </c>
    </row>
    <row r="4164" spans="1:4" x14ac:dyDescent="0.25">
      <c r="A4164" s="89" t="s">
        <v>110</v>
      </c>
      <c r="B4164" s="89" t="s">
        <v>637</v>
      </c>
      <c r="C4164" s="89">
        <v>5885614</v>
      </c>
      <c r="D4164" s="89" t="s">
        <v>664</v>
      </c>
    </row>
    <row r="4165" spans="1:4" x14ac:dyDescent="0.25">
      <c r="A4165" s="89" t="s">
        <v>110</v>
      </c>
      <c r="B4165" s="89" t="s">
        <v>637</v>
      </c>
      <c r="C4165" s="89">
        <v>1467270</v>
      </c>
      <c r="D4165" s="89" t="s">
        <v>663</v>
      </c>
    </row>
    <row r="4166" spans="1:4" x14ac:dyDescent="0.25">
      <c r="A4166" s="89" t="s">
        <v>110</v>
      </c>
      <c r="B4166" s="89" t="s">
        <v>637</v>
      </c>
      <c r="C4166" s="89">
        <v>2050000</v>
      </c>
      <c r="D4166" s="89" t="s">
        <v>666</v>
      </c>
    </row>
    <row r="4167" spans="1:4" x14ac:dyDescent="0.25">
      <c r="A4167" s="89" t="s">
        <v>110</v>
      </c>
      <c r="B4167" s="89" t="s">
        <v>637</v>
      </c>
      <c r="C4167" s="89">
        <v>11015851</v>
      </c>
      <c r="D4167" s="89" t="s">
        <v>664</v>
      </c>
    </row>
    <row r="4168" spans="1:4" x14ac:dyDescent="0.25">
      <c r="A4168" s="89" t="s">
        <v>110</v>
      </c>
      <c r="B4168" s="89" t="s">
        <v>637</v>
      </c>
      <c r="C4168" s="89">
        <v>804967.98</v>
      </c>
      <c r="D4168" s="89" t="s">
        <v>663</v>
      </c>
    </row>
    <row r="4169" spans="1:4" x14ac:dyDescent="0.25">
      <c r="A4169" s="89" t="s">
        <v>110</v>
      </c>
      <c r="B4169" s="89" t="s">
        <v>637</v>
      </c>
      <c r="C4169" s="89">
        <v>5578244.1699999999</v>
      </c>
      <c r="D4169" s="89" t="s">
        <v>663</v>
      </c>
    </row>
    <row r="4170" spans="1:4" x14ac:dyDescent="0.25">
      <c r="A4170" s="89" t="s">
        <v>110</v>
      </c>
      <c r="B4170" s="89" t="s">
        <v>637</v>
      </c>
      <c r="C4170" s="89">
        <v>3995562.57</v>
      </c>
      <c r="D4170" s="89" t="s">
        <v>663</v>
      </c>
    </row>
    <row r="4171" spans="1:4" x14ac:dyDescent="0.25">
      <c r="A4171" s="89" t="s">
        <v>110</v>
      </c>
      <c r="B4171" s="89" t="s">
        <v>637</v>
      </c>
      <c r="C4171" s="89">
        <v>2330774</v>
      </c>
      <c r="D4171" s="89" t="s">
        <v>663</v>
      </c>
    </row>
    <row r="4172" spans="1:4" x14ac:dyDescent="0.25">
      <c r="A4172" s="89" t="s">
        <v>110</v>
      </c>
      <c r="B4172" s="89" t="s">
        <v>637</v>
      </c>
      <c r="C4172" s="89">
        <v>480020.03</v>
      </c>
      <c r="D4172" s="89" t="s">
        <v>664</v>
      </c>
    </row>
    <row r="4173" spans="1:4" x14ac:dyDescent="0.25">
      <c r="A4173" s="89" t="s">
        <v>110</v>
      </c>
      <c r="B4173" s="89" t="s">
        <v>637</v>
      </c>
      <c r="C4173" s="89">
        <v>964458.03</v>
      </c>
      <c r="D4173" s="89" t="s">
        <v>666</v>
      </c>
    </row>
    <row r="4174" spans="1:4" x14ac:dyDescent="0.25">
      <c r="A4174" s="89" t="s">
        <v>110</v>
      </c>
      <c r="B4174" s="89" t="s">
        <v>637</v>
      </c>
      <c r="C4174" s="89">
        <v>6951321.5300000003</v>
      </c>
      <c r="D4174" s="89" t="s">
        <v>666</v>
      </c>
    </row>
    <row r="4175" spans="1:4" x14ac:dyDescent="0.25">
      <c r="A4175" s="89" t="s">
        <v>110</v>
      </c>
      <c r="B4175" s="89" t="s">
        <v>637</v>
      </c>
      <c r="C4175" s="89">
        <v>16781415</v>
      </c>
      <c r="D4175" s="89" t="s">
        <v>663</v>
      </c>
    </row>
    <row r="4176" spans="1:4" x14ac:dyDescent="0.25">
      <c r="A4176" s="89" t="s">
        <v>110</v>
      </c>
      <c r="B4176" s="89" t="s">
        <v>637</v>
      </c>
      <c r="C4176" s="89">
        <v>1814916</v>
      </c>
      <c r="D4176" s="89" t="s">
        <v>663</v>
      </c>
    </row>
    <row r="4177" spans="1:4" x14ac:dyDescent="0.25">
      <c r="A4177" s="89" t="s">
        <v>110</v>
      </c>
      <c r="B4177" s="89" t="s">
        <v>637</v>
      </c>
      <c r="C4177" s="89">
        <v>2864233</v>
      </c>
      <c r="D4177" s="89" t="s">
        <v>663</v>
      </c>
    </row>
    <row r="4178" spans="1:4" x14ac:dyDescent="0.25">
      <c r="A4178" s="89" t="s">
        <v>110</v>
      </c>
      <c r="B4178" s="89" t="s">
        <v>637</v>
      </c>
      <c r="C4178" s="89">
        <v>409098.94</v>
      </c>
      <c r="D4178" s="89" t="s">
        <v>664</v>
      </c>
    </row>
    <row r="4179" spans="1:4" x14ac:dyDescent="0.25">
      <c r="A4179" s="89" t="s">
        <v>110</v>
      </c>
      <c r="B4179" s="89" t="s">
        <v>637</v>
      </c>
      <c r="C4179" s="89">
        <v>4351896.5999999996</v>
      </c>
      <c r="D4179" s="89" t="s">
        <v>664</v>
      </c>
    </row>
    <row r="4180" spans="1:4" x14ac:dyDescent="0.25">
      <c r="A4180" s="89" t="s">
        <v>110</v>
      </c>
      <c r="B4180" s="89" t="s">
        <v>637</v>
      </c>
      <c r="C4180" s="89">
        <v>237873</v>
      </c>
      <c r="D4180" s="89" t="s">
        <v>664</v>
      </c>
    </row>
    <row r="4181" spans="1:4" x14ac:dyDescent="0.25">
      <c r="A4181" s="89" t="s">
        <v>110</v>
      </c>
      <c r="B4181" s="89" t="s">
        <v>637</v>
      </c>
      <c r="C4181" s="89">
        <v>4273294.99</v>
      </c>
      <c r="D4181" s="89" t="s">
        <v>666</v>
      </c>
    </row>
    <row r="4182" spans="1:4" x14ac:dyDescent="0.25">
      <c r="A4182" s="89" t="s">
        <v>110</v>
      </c>
      <c r="B4182" s="89" t="s">
        <v>637</v>
      </c>
      <c r="C4182" s="89">
        <v>2120842</v>
      </c>
      <c r="D4182" s="89" t="s">
        <v>664</v>
      </c>
    </row>
    <row r="4183" spans="1:4" x14ac:dyDescent="0.25">
      <c r="A4183" s="89" t="s">
        <v>110</v>
      </c>
      <c r="B4183" s="89" t="s">
        <v>637</v>
      </c>
      <c r="C4183" s="89">
        <v>369335</v>
      </c>
      <c r="D4183" s="89" t="s">
        <v>664</v>
      </c>
    </row>
    <row r="4184" spans="1:4" x14ac:dyDescent="0.25">
      <c r="A4184" s="89" t="s">
        <v>110</v>
      </c>
      <c r="B4184" s="89" t="s">
        <v>637</v>
      </c>
      <c r="C4184" s="89">
        <v>2656462</v>
      </c>
      <c r="D4184" s="89" t="s">
        <v>666</v>
      </c>
    </row>
    <row r="4185" spans="1:4" x14ac:dyDescent="0.25">
      <c r="A4185" s="89" t="s">
        <v>110</v>
      </c>
      <c r="B4185" s="89" t="s">
        <v>637</v>
      </c>
      <c r="C4185" s="89">
        <v>1335693</v>
      </c>
      <c r="D4185" s="89" t="s">
        <v>663</v>
      </c>
    </row>
    <row r="4186" spans="1:4" x14ac:dyDescent="0.25">
      <c r="A4186" s="89" t="s">
        <v>110</v>
      </c>
      <c r="B4186" s="89" t="s">
        <v>637</v>
      </c>
      <c r="C4186" s="89">
        <v>265546</v>
      </c>
      <c r="D4186" s="89" t="s">
        <v>663</v>
      </c>
    </row>
    <row r="4187" spans="1:4" x14ac:dyDescent="0.25">
      <c r="A4187" s="89" t="s">
        <v>110</v>
      </c>
      <c r="B4187" s="89" t="s">
        <v>637</v>
      </c>
      <c r="C4187" s="89">
        <v>1112702</v>
      </c>
      <c r="D4187" s="89" t="s">
        <v>663</v>
      </c>
    </row>
    <row r="4188" spans="1:4" x14ac:dyDescent="0.25">
      <c r="A4188" s="89" t="s">
        <v>110</v>
      </c>
      <c r="B4188" s="89" t="s">
        <v>637</v>
      </c>
      <c r="C4188" s="89">
        <v>460709</v>
      </c>
      <c r="D4188" s="89" t="s">
        <v>664</v>
      </c>
    </row>
    <row r="4189" spans="1:4" x14ac:dyDescent="0.25">
      <c r="A4189" s="89" t="s">
        <v>110</v>
      </c>
      <c r="B4189" s="89" t="s">
        <v>637</v>
      </c>
      <c r="C4189" s="89">
        <v>1088140</v>
      </c>
      <c r="D4189" s="89" t="s">
        <v>663</v>
      </c>
    </row>
    <row r="4190" spans="1:4" x14ac:dyDescent="0.25">
      <c r="A4190" s="89" t="s">
        <v>110</v>
      </c>
      <c r="B4190" s="89" t="s">
        <v>637</v>
      </c>
      <c r="C4190" s="89">
        <v>1420823</v>
      </c>
      <c r="D4190" s="89" t="s">
        <v>663</v>
      </c>
    </row>
    <row r="4191" spans="1:4" x14ac:dyDescent="0.25">
      <c r="A4191" s="89" t="s">
        <v>110</v>
      </c>
      <c r="B4191" s="89" t="s">
        <v>637</v>
      </c>
      <c r="C4191" s="89">
        <v>1331910</v>
      </c>
      <c r="D4191" s="89" t="s">
        <v>664</v>
      </c>
    </row>
    <row r="4192" spans="1:4" x14ac:dyDescent="0.25">
      <c r="A4192" s="89" t="s">
        <v>110</v>
      </c>
      <c r="B4192" s="89" t="s">
        <v>637</v>
      </c>
      <c r="C4192" s="89">
        <v>783646.23</v>
      </c>
      <c r="D4192" s="89" t="s">
        <v>666</v>
      </c>
    </row>
    <row r="4193" spans="1:4" x14ac:dyDescent="0.25">
      <c r="A4193" s="89" t="s">
        <v>110</v>
      </c>
      <c r="B4193" s="89" t="s">
        <v>637</v>
      </c>
      <c r="C4193" s="89">
        <v>127090</v>
      </c>
      <c r="D4193" s="89" t="s">
        <v>664</v>
      </c>
    </row>
    <row r="4194" spans="1:4" x14ac:dyDescent="0.25">
      <c r="A4194" s="89" t="s">
        <v>110</v>
      </c>
      <c r="B4194" s="89" t="s">
        <v>637</v>
      </c>
      <c r="C4194" s="89">
        <v>948768.53</v>
      </c>
      <c r="D4194" s="89" t="s">
        <v>663</v>
      </c>
    </row>
    <row r="4195" spans="1:4" x14ac:dyDescent="0.25">
      <c r="A4195" s="89" t="s">
        <v>110</v>
      </c>
      <c r="B4195" s="89" t="s">
        <v>637</v>
      </c>
      <c r="C4195" s="89">
        <v>9537357.4199999999</v>
      </c>
      <c r="D4195" s="89" t="s">
        <v>666</v>
      </c>
    </row>
    <row r="4196" spans="1:4" x14ac:dyDescent="0.25">
      <c r="A4196" s="89" t="s">
        <v>110</v>
      </c>
      <c r="B4196" s="89" t="s">
        <v>637</v>
      </c>
      <c r="C4196" s="89">
        <v>194660.6</v>
      </c>
      <c r="D4196" s="89" t="s">
        <v>664</v>
      </c>
    </row>
    <row r="4197" spans="1:4" x14ac:dyDescent="0.25">
      <c r="A4197" s="89" t="s">
        <v>110</v>
      </c>
      <c r="B4197" s="89" t="s">
        <v>637</v>
      </c>
      <c r="C4197" s="89">
        <v>4621579.71</v>
      </c>
      <c r="D4197" s="89" t="s">
        <v>663</v>
      </c>
    </row>
    <row r="4198" spans="1:4" x14ac:dyDescent="0.25">
      <c r="A4198" s="89" t="s">
        <v>110</v>
      </c>
      <c r="B4198" s="89" t="s">
        <v>637</v>
      </c>
      <c r="C4198" s="89">
        <v>50000</v>
      </c>
      <c r="D4198" s="89" t="s">
        <v>666</v>
      </c>
    </row>
    <row r="4199" spans="1:4" x14ac:dyDescent="0.25">
      <c r="A4199" s="89" t="s">
        <v>110</v>
      </c>
      <c r="B4199" s="89" t="s">
        <v>637</v>
      </c>
      <c r="C4199" s="89">
        <v>3219286.85</v>
      </c>
      <c r="D4199" s="89" t="s">
        <v>666</v>
      </c>
    </row>
    <row r="4200" spans="1:4" x14ac:dyDescent="0.25">
      <c r="A4200" s="89" t="s">
        <v>110</v>
      </c>
      <c r="B4200" s="89" t="s">
        <v>637</v>
      </c>
      <c r="C4200" s="89">
        <v>3305277</v>
      </c>
      <c r="D4200" s="89" t="s">
        <v>663</v>
      </c>
    </row>
    <row r="4201" spans="1:4" x14ac:dyDescent="0.25">
      <c r="A4201" s="89" t="s">
        <v>110</v>
      </c>
      <c r="B4201" s="89" t="s">
        <v>637</v>
      </c>
      <c r="C4201" s="89">
        <v>848267.73</v>
      </c>
      <c r="D4201" s="89" t="s">
        <v>663</v>
      </c>
    </row>
    <row r="4202" spans="1:4" x14ac:dyDescent="0.25">
      <c r="A4202" s="89" t="s">
        <v>110</v>
      </c>
      <c r="B4202" s="89" t="s">
        <v>637</v>
      </c>
      <c r="C4202" s="89">
        <v>-783646.23</v>
      </c>
      <c r="D4202" s="89" t="s">
        <v>666</v>
      </c>
    </row>
    <row r="4203" spans="1:4" x14ac:dyDescent="0.25">
      <c r="A4203" s="89" t="s">
        <v>110</v>
      </c>
      <c r="B4203" s="89" t="s">
        <v>637</v>
      </c>
      <c r="C4203" s="89">
        <v>805857.2</v>
      </c>
      <c r="D4203" s="89" t="s">
        <v>664</v>
      </c>
    </row>
    <row r="4204" spans="1:4" x14ac:dyDescent="0.25">
      <c r="A4204" s="89" t="s">
        <v>110</v>
      </c>
      <c r="B4204" s="89" t="s">
        <v>637</v>
      </c>
      <c r="C4204" s="89">
        <v>230923.81</v>
      </c>
      <c r="D4204" s="89" t="s">
        <v>664</v>
      </c>
    </row>
    <row r="4205" spans="1:4" x14ac:dyDescent="0.25">
      <c r="A4205" s="89" t="s">
        <v>151</v>
      </c>
      <c r="B4205" s="89" t="s">
        <v>637</v>
      </c>
      <c r="C4205" s="89">
        <v>936584</v>
      </c>
      <c r="D4205" s="89" t="s">
        <v>663</v>
      </c>
    </row>
    <row r="4206" spans="1:4" x14ac:dyDescent="0.25">
      <c r="A4206" s="89" t="s">
        <v>151</v>
      </c>
      <c r="B4206" s="89" t="s">
        <v>637</v>
      </c>
      <c r="C4206" s="89">
        <v>546000</v>
      </c>
      <c r="D4206" s="89" t="s">
        <v>664</v>
      </c>
    </row>
    <row r="4207" spans="1:4" x14ac:dyDescent="0.25">
      <c r="A4207" s="89" t="s">
        <v>151</v>
      </c>
      <c r="B4207" s="89" t="s">
        <v>637</v>
      </c>
      <c r="C4207" s="89">
        <v>570732</v>
      </c>
      <c r="D4207" s="89" t="s">
        <v>666</v>
      </c>
    </row>
    <row r="4208" spans="1:4" x14ac:dyDescent="0.25">
      <c r="A4208" s="89" t="s">
        <v>151</v>
      </c>
      <c r="B4208" s="89" t="s">
        <v>637</v>
      </c>
      <c r="C4208" s="89">
        <v>127339</v>
      </c>
      <c r="D4208" s="89" t="s">
        <v>663</v>
      </c>
    </row>
    <row r="4209" spans="1:4" x14ac:dyDescent="0.25">
      <c r="A4209" s="89" t="s">
        <v>151</v>
      </c>
      <c r="B4209" s="89" t="s">
        <v>637</v>
      </c>
      <c r="C4209" s="89">
        <v>411320</v>
      </c>
      <c r="D4209" s="89" t="s">
        <v>664</v>
      </c>
    </row>
    <row r="4210" spans="1:4" x14ac:dyDescent="0.25">
      <c r="A4210" s="89" t="s">
        <v>151</v>
      </c>
      <c r="B4210" s="89" t="s">
        <v>637</v>
      </c>
      <c r="C4210" s="89">
        <v>231292</v>
      </c>
      <c r="D4210" s="89" t="s">
        <v>666</v>
      </c>
    </row>
    <row r="4211" spans="1:4" x14ac:dyDescent="0.25">
      <c r="A4211" s="89" t="s">
        <v>151</v>
      </c>
      <c r="B4211" s="89" t="s">
        <v>637</v>
      </c>
      <c r="C4211" s="89">
        <v>1073175</v>
      </c>
      <c r="D4211" s="89" t="s">
        <v>666</v>
      </c>
    </row>
    <row r="4212" spans="1:4" x14ac:dyDescent="0.25">
      <c r="A4212" s="89" t="s">
        <v>151</v>
      </c>
      <c r="B4212" s="89" t="s">
        <v>637</v>
      </c>
      <c r="C4212" s="89">
        <v>567622</v>
      </c>
      <c r="D4212" s="89" t="s">
        <v>663</v>
      </c>
    </row>
    <row r="4213" spans="1:4" x14ac:dyDescent="0.25">
      <c r="A4213" s="89" t="s">
        <v>151</v>
      </c>
      <c r="B4213" s="89" t="s">
        <v>637</v>
      </c>
      <c r="C4213" s="89">
        <v>650462</v>
      </c>
      <c r="D4213" s="89" t="s">
        <v>664</v>
      </c>
    </row>
    <row r="4214" spans="1:4" x14ac:dyDescent="0.25">
      <c r="A4214" s="89" t="s">
        <v>151</v>
      </c>
      <c r="B4214" s="89" t="s">
        <v>637</v>
      </c>
      <c r="C4214" s="89">
        <v>495010</v>
      </c>
      <c r="D4214" s="89" t="s">
        <v>666</v>
      </c>
    </row>
    <row r="4215" spans="1:4" x14ac:dyDescent="0.25">
      <c r="A4215" s="89" t="s">
        <v>151</v>
      </c>
      <c r="B4215" s="89" t="s">
        <v>637</v>
      </c>
      <c r="C4215" s="89">
        <v>411320</v>
      </c>
      <c r="D4215" s="89" t="s">
        <v>664</v>
      </c>
    </row>
    <row r="4216" spans="1:4" x14ac:dyDescent="0.25">
      <c r="A4216" s="89" t="s">
        <v>151</v>
      </c>
      <c r="B4216" s="89" t="s">
        <v>637</v>
      </c>
      <c r="C4216" s="89">
        <v>127339</v>
      </c>
      <c r="D4216" s="89" t="s">
        <v>663</v>
      </c>
    </row>
    <row r="4217" spans="1:4" x14ac:dyDescent="0.25">
      <c r="A4217" s="89" t="s">
        <v>151</v>
      </c>
      <c r="B4217" s="89" t="s">
        <v>637</v>
      </c>
      <c r="C4217" s="89">
        <v>231292</v>
      </c>
      <c r="D4217" s="89" t="s">
        <v>666</v>
      </c>
    </row>
    <row r="4218" spans="1:4" x14ac:dyDescent="0.25">
      <c r="A4218" s="89" t="s">
        <v>151</v>
      </c>
      <c r="B4218" s="89" t="s">
        <v>637</v>
      </c>
      <c r="C4218" s="89">
        <v>196506</v>
      </c>
      <c r="D4218" s="89" t="s">
        <v>666</v>
      </c>
    </row>
    <row r="4219" spans="1:4" x14ac:dyDescent="0.25">
      <c r="A4219" s="89" t="s">
        <v>151</v>
      </c>
      <c r="B4219" s="89" t="s">
        <v>637</v>
      </c>
      <c r="C4219" s="89">
        <v>1571200</v>
      </c>
      <c r="D4219" s="89" t="s">
        <v>663</v>
      </c>
    </row>
    <row r="4220" spans="1:4" x14ac:dyDescent="0.25">
      <c r="A4220" s="89" t="s">
        <v>151</v>
      </c>
      <c r="B4220" s="89" t="s">
        <v>637</v>
      </c>
      <c r="C4220" s="89">
        <v>665616</v>
      </c>
      <c r="D4220" s="89" t="s">
        <v>664</v>
      </c>
    </row>
    <row r="4221" spans="1:4" x14ac:dyDescent="0.25">
      <c r="A4221" s="89" t="s">
        <v>151</v>
      </c>
      <c r="B4221" s="89" t="s">
        <v>637</v>
      </c>
      <c r="C4221" s="89">
        <v>2344477</v>
      </c>
      <c r="D4221" s="89" t="s">
        <v>663</v>
      </c>
    </row>
    <row r="4222" spans="1:4" x14ac:dyDescent="0.25">
      <c r="A4222" s="89" t="s">
        <v>151</v>
      </c>
      <c r="B4222" s="89" t="s">
        <v>637</v>
      </c>
      <c r="C4222" s="89">
        <v>541941</v>
      </c>
      <c r="D4222" s="89" t="s">
        <v>663</v>
      </c>
    </row>
    <row r="4223" spans="1:4" x14ac:dyDescent="0.25">
      <c r="A4223" s="89" t="s">
        <v>151</v>
      </c>
      <c r="B4223" s="89" t="s">
        <v>637</v>
      </c>
      <c r="C4223" s="89">
        <v>646295</v>
      </c>
      <c r="D4223" s="89" t="s">
        <v>666</v>
      </c>
    </row>
    <row r="4224" spans="1:4" x14ac:dyDescent="0.25">
      <c r="A4224" s="89" t="s">
        <v>151</v>
      </c>
      <c r="B4224" s="89" t="s">
        <v>637</v>
      </c>
      <c r="C4224" s="89">
        <v>1613775.21</v>
      </c>
      <c r="D4224" s="89" t="s">
        <v>664</v>
      </c>
    </row>
    <row r="4225" spans="1:4" x14ac:dyDescent="0.25">
      <c r="A4225" s="89" t="s">
        <v>151</v>
      </c>
      <c r="B4225" s="89" t="s">
        <v>637</v>
      </c>
      <c r="C4225" s="89">
        <v>484645.51</v>
      </c>
      <c r="D4225" s="89" t="s">
        <v>666</v>
      </c>
    </row>
    <row r="4226" spans="1:4" x14ac:dyDescent="0.25">
      <c r="A4226" s="89" t="s">
        <v>151</v>
      </c>
      <c r="B4226" s="89" t="s">
        <v>637</v>
      </c>
      <c r="C4226" s="89">
        <v>1598870.02</v>
      </c>
      <c r="D4226" s="89" t="s">
        <v>664</v>
      </c>
    </row>
    <row r="4227" spans="1:4" x14ac:dyDescent="0.25">
      <c r="A4227" s="89" t="s">
        <v>151</v>
      </c>
      <c r="B4227" s="89" t="s">
        <v>637</v>
      </c>
      <c r="C4227" s="89">
        <v>389560</v>
      </c>
      <c r="D4227" s="89" t="s">
        <v>663</v>
      </c>
    </row>
    <row r="4228" spans="1:4" x14ac:dyDescent="0.25">
      <c r="A4228" s="89" t="s">
        <v>151</v>
      </c>
      <c r="B4228" s="89" t="s">
        <v>637</v>
      </c>
      <c r="C4228" s="89">
        <v>2091844.68</v>
      </c>
      <c r="D4228" s="89" t="s">
        <v>664</v>
      </c>
    </row>
    <row r="4229" spans="1:4" x14ac:dyDescent="0.25">
      <c r="A4229" s="89" t="s">
        <v>151</v>
      </c>
      <c r="B4229" s="89" t="s">
        <v>637</v>
      </c>
      <c r="C4229" s="89">
        <v>201110</v>
      </c>
      <c r="D4229" s="89" t="s">
        <v>664</v>
      </c>
    </row>
    <row r="4230" spans="1:4" x14ac:dyDescent="0.25">
      <c r="A4230" s="89" t="s">
        <v>151</v>
      </c>
      <c r="B4230" s="89" t="s">
        <v>637</v>
      </c>
      <c r="C4230" s="89">
        <v>3637014.29</v>
      </c>
      <c r="D4230" s="89" t="s">
        <v>666</v>
      </c>
    </row>
    <row r="4231" spans="1:4" x14ac:dyDescent="0.25">
      <c r="A4231" s="89" t="s">
        <v>151</v>
      </c>
      <c r="B4231" s="89" t="s">
        <v>637</v>
      </c>
      <c r="C4231" s="89">
        <v>1886400</v>
      </c>
      <c r="D4231" s="89" t="s">
        <v>666</v>
      </c>
    </row>
    <row r="4232" spans="1:4" x14ac:dyDescent="0.25">
      <c r="A4232" s="89" t="s">
        <v>151</v>
      </c>
      <c r="B4232" s="89" t="s">
        <v>637</v>
      </c>
      <c r="C4232" s="89">
        <v>1354195.26</v>
      </c>
      <c r="D4232" s="89" t="s">
        <v>666</v>
      </c>
    </row>
    <row r="4233" spans="1:4" x14ac:dyDescent="0.25">
      <c r="A4233" s="89" t="s">
        <v>151</v>
      </c>
      <c r="B4233" s="89" t="s">
        <v>637</v>
      </c>
      <c r="C4233" s="89">
        <v>4061295</v>
      </c>
      <c r="D4233" s="89" t="s">
        <v>666</v>
      </c>
    </row>
    <row r="4234" spans="1:4" x14ac:dyDescent="0.25">
      <c r="A4234" s="89" t="s">
        <v>151</v>
      </c>
      <c r="B4234" s="89" t="s">
        <v>637</v>
      </c>
      <c r="C4234" s="89">
        <v>2638117.87</v>
      </c>
      <c r="D4234" s="89" t="s">
        <v>666</v>
      </c>
    </row>
    <row r="4235" spans="1:4" x14ac:dyDescent="0.25">
      <c r="A4235" s="89" t="s">
        <v>151</v>
      </c>
      <c r="B4235" s="89" t="s">
        <v>637</v>
      </c>
      <c r="C4235" s="89">
        <v>3183154.98</v>
      </c>
      <c r="D4235" s="89" t="s">
        <v>664</v>
      </c>
    </row>
    <row r="4236" spans="1:4" x14ac:dyDescent="0.25">
      <c r="A4236" s="89" t="s">
        <v>151</v>
      </c>
      <c r="B4236" s="89" t="s">
        <v>637</v>
      </c>
      <c r="C4236" s="89">
        <v>2782012</v>
      </c>
      <c r="D4236" s="89" t="s">
        <v>666</v>
      </c>
    </row>
    <row r="4237" spans="1:4" x14ac:dyDescent="0.25">
      <c r="A4237" s="89" t="s">
        <v>151</v>
      </c>
      <c r="B4237" s="89" t="s">
        <v>637</v>
      </c>
      <c r="C4237" s="89">
        <v>560057</v>
      </c>
      <c r="D4237" s="89" t="s">
        <v>666</v>
      </c>
    </row>
    <row r="4238" spans="1:4" x14ac:dyDescent="0.25">
      <c r="A4238" s="89" t="s">
        <v>151</v>
      </c>
      <c r="B4238" s="89" t="s">
        <v>637</v>
      </c>
      <c r="C4238" s="89">
        <v>1259208</v>
      </c>
      <c r="D4238" s="89" t="s">
        <v>666</v>
      </c>
    </row>
    <row r="4239" spans="1:4" x14ac:dyDescent="0.25">
      <c r="A4239" s="89" t="s">
        <v>151</v>
      </c>
      <c r="B4239" s="89" t="s">
        <v>637</v>
      </c>
      <c r="C4239" s="89">
        <v>95000</v>
      </c>
      <c r="D4239" s="89" t="s">
        <v>666</v>
      </c>
    </row>
    <row r="4240" spans="1:4" x14ac:dyDescent="0.25">
      <c r="A4240" s="89" t="s">
        <v>151</v>
      </c>
      <c r="B4240" s="89" t="s">
        <v>637</v>
      </c>
      <c r="C4240" s="89">
        <v>262368</v>
      </c>
      <c r="D4240" s="89" t="s">
        <v>664</v>
      </c>
    </row>
    <row r="4241" spans="1:4" x14ac:dyDescent="0.25">
      <c r="A4241" s="89" t="s">
        <v>151</v>
      </c>
      <c r="B4241" s="89" t="s">
        <v>637</v>
      </c>
      <c r="C4241" s="89">
        <v>705000</v>
      </c>
      <c r="D4241" s="89" t="s">
        <v>664</v>
      </c>
    </row>
    <row r="4242" spans="1:4" x14ac:dyDescent="0.25">
      <c r="A4242" s="89" t="s">
        <v>151</v>
      </c>
      <c r="B4242" s="89" t="s">
        <v>637</v>
      </c>
      <c r="C4242" s="89">
        <v>813700</v>
      </c>
      <c r="D4242" s="89" t="s">
        <v>664</v>
      </c>
    </row>
    <row r="4243" spans="1:4" x14ac:dyDescent="0.25">
      <c r="A4243" s="89" t="s">
        <v>151</v>
      </c>
      <c r="B4243" s="89" t="s">
        <v>637</v>
      </c>
      <c r="C4243" s="89">
        <v>720000</v>
      </c>
      <c r="D4243" s="89" t="s">
        <v>666</v>
      </c>
    </row>
    <row r="4244" spans="1:4" x14ac:dyDescent="0.25">
      <c r="A4244" s="89" t="s">
        <v>151</v>
      </c>
      <c r="B4244" s="89" t="s">
        <v>637</v>
      </c>
      <c r="C4244" s="89">
        <v>731405</v>
      </c>
      <c r="D4244" s="89" t="s">
        <v>666</v>
      </c>
    </row>
    <row r="4245" spans="1:4" x14ac:dyDescent="0.25">
      <c r="A4245" s="89" t="s">
        <v>151</v>
      </c>
      <c r="B4245" s="89" t="s">
        <v>637</v>
      </c>
      <c r="C4245" s="89">
        <v>454800</v>
      </c>
      <c r="D4245" s="89" t="s">
        <v>664</v>
      </c>
    </row>
    <row r="4246" spans="1:4" x14ac:dyDescent="0.25">
      <c r="A4246" s="89" t="s">
        <v>151</v>
      </c>
      <c r="B4246" s="89" t="s">
        <v>637</v>
      </c>
      <c r="C4246" s="89">
        <v>1846726</v>
      </c>
      <c r="D4246" s="89" t="s">
        <v>666</v>
      </c>
    </row>
    <row r="4247" spans="1:4" x14ac:dyDescent="0.25">
      <c r="A4247" s="89" t="s">
        <v>151</v>
      </c>
      <c r="B4247" s="89" t="s">
        <v>637</v>
      </c>
      <c r="C4247" s="89">
        <v>344885</v>
      </c>
      <c r="D4247" s="89" t="s">
        <v>666</v>
      </c>
    </row>
    <row r="4248" spans="1:4" x14ac:dyDescent="0.25">
      <c r="A4248" s="89" t="s">
        <v>151</v>
      </c>
      <c r="B4248" s="89" t="s">
        <v>637</v>
      </c>
      <c r="C4248" s="89">
        <v>2242247</v>
      </c>
      <c r="D4248" s="89" t="s">
        <v>666</v>
      </c>
    </row>
    <row r="4249" spans="1:4" x14ac:dyDescent="0.25">
      <c r="A4249" s="89" t="s">
        <v>151</v>
      </c>
      <c r="B4249" s="89" t="s">
        <v>637</v>
      </c>
      <c r="C4249" s="89">
        <v>2228728</v>
      </c>
      <c r="D4249" s="89" t="s">
        <v>666</v>
      </c>
    </row>
    <row r="4250" spans="1:4" x14ac:dyDescent="0.25">
      <c r="A4250" s="89" t="s">
        <v>151</v>
      </c>
      <c r="B4250" s="89" t="s">
        <v>637</v>
      </c>
      <c r="C4250" s="89">
        <v>190782</v>
      </c>
      <c r="D4250" s="89" t="s">
        <v>663</v>
      </c>
    </row>
    <row r="4251" spans="1:4" x14ac:dyDescent="0.25">
      <c r="A4251" s="89" t="s">
        <v>151</v>
      </c>
      <c r="B4251" s="89" t="s">
        <v>637</v>
      </c>
      <c r="C4251" s="89">
        <v>454020</v>
      </c>
      <c r="D4251" s="89" t="s">
        <v>666</v>
      </c>
    </row>
    <row r="4252" spans="1:4" x14ac:dyDescent="0.25">
      <c r="A4252" s="89" t="s">
        <v>151</v>
      </c>
      <c r="B4252" s="89" t="s">
        <v>637</v>
      </c>
      <c r="C4252" s="89">
        <v>1123986.56</v>
      </c>
      <c r="D4252" s="89" t="s">
        <v>666</v>
      </c>
    </row>
    <row r="4253" spans="1:4" x14ac:dyDescent="0.25">
      <c r="A4253" s="89" t="s">
        <v>151</v>
      </c>
      <c r="B4253" s="89" t="s">
        <v>637</v>
      </c>
      <c r="C4253" s="89">
        <v>50000</v>
      </c>
      <c r="D4253" s="89" t="s">
        <v>666</v>
      </c>
    </row>
    <row r="4254" spans="1:4" x14ac:dyDescent="0.25">
      <c r="A4254" s="89" t="s">
        <v>151</v>
      </c>
      <c r="B4254" s="89" t="s">
        <v>637</v>
      </c>
      <c r="C4254" s="89">
        <v>326709.55</v>
      </c>
      <c r="D4254" s="89" t="s">
        <v>664</v>
      </c>
    </row>
    <row r="4255" spans="1:4" x14ac:dyDescent="0.25">
      <c r="A4255" s="89" t="s">
        <v>151</v>
      </c>
      <c r="B4255" s="89" t="s">
        <v>637</v>
      </c>
      <c r="C4255" s="89">
        <v>903059</v>
      </c>
      <c r="D4255" s="89" t="s">
        <v>664</v>
      </c>
    </row>
    <row r="4256" spans="1:4" x14ac:dyDescent="0.25">
      <c r="A4256" s="89" t="s">
        <v>151</v>
      </c>
      <c r="B4256" s="89" t="s">
        <v>637</v>
      </c>
      <c r="C4256" s="89">
        <v>1167838.95</v>
      </c>
      <c r="D4256" s="89" t="s">
        <v>663</v>
      </c>
    </row>
    <row r="4257" spans="1:4" x14ac:dyDescent="0.25">
      <c r="A4257" s="89" t="s">
        <v>151</v>
      </c>
      <c r="B4257" s="89" t="s">
        <v>637</v>
      </c>
      <c r="C4257" s="89">
        <v>873453.24</v>
      </c>
      <c r="D4257" s="89" t="s">
        <v>663</v>
      </c>
    </row>
    <row r="4258" spans="1:4" x14ac:dyDescent="0.25">
      <c r="A4258" s="89" t="s">
        <v>151</v>
      </c>
      <c r="B4258" s="89" t="s">
        <v>637</v>
      </c>
      <c r="C4258" s="89">
        <v>205414</v>
      </c>
      <c r="D4258" s="89" t="s">
        <v>666</v>
      </c>
    </row>
    <row r="4259" spans="1:4" x14ac:dyDescent="0.25">
      <c r="A4259" s="89" t="s">
        <v>151</v>
      </c>
      <c r="B4259" s="89" t="s">
        <v>637</v>
      </c>
      <c r="C4259" s="89">
        <v>1549151.54</v>
      </c>
      <c r="D4259" s="89" t="s">
        <v>666</v>
      </c>
    </row>
    <row r="4260" spans="1:4" x14ac:dyDescent="0.25">
      <c r="A4260" s="89" t="s">
        <v>151</v>
      </c>
      <c r="B4260" s="89" t="s">
        <v>637</v>
      </c>
      <c r="C4260" s="89">
        <v>728514</v>
      </c>
      <c r="D4260" s="89" t="s">
        <v>663</v>
      </c>
    </row>
    <row r="4261" spans="1:4" x14ac:dyDescent="0.25">
      <c r="A4261" s="89" t="s">
        <v>151</v>
      </c>
      <c r="B4261" s="89" t="s">
        <v>637</v>
      </c>
      <c r="C4261" s="89">
        <v>1041617</v>
      </c>
      <c r="D4261" s="89" t="s">
        <v>666</v>
      </c>
    </row>
    <row r="4262" spans="1:4" x14ac:dyDescent="0.25">
      <c r="A4262" s="89" t="s">
        <v>151</v>
      </c>
      <c r="B4262" s="89" t="s">
        <v>637</v>
      </c>
      <c r="C4262" s="89">
        <v>1642417</v>
      </c>
      <c r="D4262" s="89" t="s">
        <v>664</v>
      </c>
    </row>
    <row r="4263" spans="1:4" x14ac:dyDescent="0.25">
      <c r="A4263" s="89" t="s">
        <v>151</v>
      </c>
      <c r="B4263" s="89" t="s">
        <v>637</v>
      </c>
      <c r="C4263" s="89">
        <v>121878</v>
      </c>
      <c r="D4263" s="89" t="s">
        <v>663</v>
      </c>
    </row>
    <row r="4264" spans="1:4" x14ac:dyDescent="0.25">
      <c r="A4264" s="89" t="s">
        <v>151</v>
      </c>
      <c r="B4264" s="89" t="s">
        <v>637</v>
      </c>
      <c r="C4264" s="89">
        <v>3105649</v>
      </c>
      <c r="D4264" s="89" t="s">
        <v>666</v>
      </c>
    </row>
    <row r="4265" spans="1:4" x14ac:dyDescent="0.25">
      <c r="A4265" s="89" t="s">
        <v>151</v>
      </c>
      <c r="B4265" s="89" t="s">
        <v>637</v>
      </c>
      <c r="C4265" s="89">
        <v>345800</v>
      </c>
      <c r="D4265" s="89" t="s">
        <v>664</v>
      </c>
    </row>
    <row r="4266" spans="1:4" x14ac:dyDescent="0.25">
      <c r="A4266" s="89" t="s">
        <v>151</v>
      </c>
      <c r="B4266" s="89" t="s">
        <v>637</v>
      </c>
      <c r="C4266" s="89">
        <v>7711033.4400000004</v>
      </c>
      <c r="D4266" s="89" t="s">
        <v>666</v>
      </c>
    </row>
    <row r="4267" spans="1:4" x14ac:dyDescent="0.25">
      <c r="A4267" s="89" t="s">
        <v>151</v>
      </c>
      <c r="B4267" s="89" t="s">
        <v>637</v>
      </c>
      <c r="C4267" s="89">
        <v>2846522.88</v>
      </c>
      <c r="D4267" s="89" t="s">
        <v>666</v>
      </c>
    </row>
    <row r="4268" spans="1:4" x14ac:dyDescent="0.25">
      <c r="A4268" s="89" t="s">
        <v>151</v>
      </c>
      <c r="B4268" s="89" t="s">
        <v>637</v>
      </c>
      <c r="C4268" s="89">
        <v>1161892</v>
      </c>
      <c r="D4268" s="89" t="s">
        <v>666</v>
      </c>
    </row>
    <row r="4269" spans="1:4" x14ac:dyDescent="0.25">
      <c r="A4269" s="89" t="s">
        <v>151</v>
      </c>
      <c r="B4269" s="89" t="s">
        <v>637</v>
      </c>
      <c r="C4269" s="89">
        <v>684319.53</v>
      </c>
      <c r="D4269" s="89" t="s">
        <v>666</v>
      </c>
    </row>
    <row r="4270" spans="1:4" x14ac:dyDescent="0.25">
      <c r="A4270" s="89" t="s">
        <v>151</v>
      </c>
      <c r="B4270" s="89" t="s">
        <v>637</v>
      </c>
      <c r="C4270" s="89">
        <v>50000</v>
      </c>
      <c r="D4270" s="89" t="s">
        <v>666</v>
      </c>
    </row>
    <row r="4271" spans="1:4" x14ac:dyDescent="0.25">
      <c r="A4271" s="89" t="s">
        <v>151</v>
      </c>
      <c r="B4271" s="89" t="s">
        <v>637</v>
      </c>
      <c r="C4271" s="89">
        <v>1240629.47</v>
      </c>
      <c r="D4271" s="89" t="s">
        <v>666</v>
      </c>
    </row>
    <row r="4272" spans="1:4" x14ac:dyDescent="0.25">
      <c r="A4272" s="89" t="s">
        <v>151</v>
      </c>
      <c r="B4272" s="89" t="s">
        <v>637</v>
      </c>
      <c r="C4272" s="89">
        <v>68533</v>
      </c>
      <c r="D4272" s="89" t="s">
        <v>666</v>
      </c>
    </row>
    <row r="4273" spans="1:4" x14ac:dyDescent="0.25">
      <c r="A4273" s="89" t="s">
        <v>151</v>
      </c>
      <c r="B4273" s="89" t="s">
        <v>637</v>
      </c>
      <c r="C4273" s="89">
        <v>1835188.2</v>
      </c>
      <c r="D4273" s="89" t="s">
        <v>666</v>
      </c>
    </row>
    <row r="4274" spans="1:4" x14ac:dyDescent="0.25">
      <c r="A4274" s="89" t="s">
        <v>151</v>
      </c>
      <c r="B4274" s="89" t="s">
        <v>637</v>
      </c>
      <c r="C4274" s="89">
        <v>1185971</v>
      </c>
      <c r="D4274" s="89" t="s">
        <v>664</v>
      </c>
    </row>
    <row r="4275" spans="1:4" x14ac:dyDescent="0.25">
      <c r="A4275" s="89" t="s">
        <v>151</v>
      </c>
      <c r="B4275" s="89" t="s">
        <v>637</v>
      </c>
      <c r="C4275" s="89">
        <v>817802.58</v>
      </c>
      <c r="D4275" s="89" t="s">
        <v>666</v>
      </c>
    </row>
    <row r="4276" spans="1:4" x14ac:dyDescent="0.25">
      <c r="A4276" s="89" t="s">
        <v>151</v>
      </c>
      <c r="B4276" s="89" t="s">
        <v>637</v>
      </c>
      <c r="C4276" s="89">
        <v>2242689</v>
      </c>
      <c r="D4276" s="89" t="s">
        <v>666</v>
      </c>
    </row>
    <row r="4277" spans="1:4" x14ac:dyDescent="0.25">
      <c r="A4277" s="89" t="s">
        <v>151</v>
      </c>
      <c r="B4277" s="89" t="s">
        <v>637</v>
      </c>
      <c r="C4277" s="89">
        <v>1139252.1100000001</v>
      </c>
      <c r="D4277" s="89" t="s">
        <v>666</v>
      </c>
    </row>
    <row r="4278" spans="1:4" x14ac:dyDescent="0.25">
      <c r="A4278" s="89" t="s">
        <v>151</v>
      </c>
      <c r="B4278" s="89" t="s">
        <v>637</v>
      </c>
      <c r="C4278" s="89">
        <v>3050138</v>
      </c>
      <c r="D4278" s="89" t="s">
        <v>666</v>
      </c>
    </row>
    <row r="4279" spans="1:4" x14ac:dyDescent="0.25">
      <c r="A4279" s="89" t="s">
        <v>149</v>
      </c>
      <c r="B4279" s="89" t="s">
        <v>637</v>
      </c>
      <c r="C4279" s="89">
        <v>53504</v>
      </c>
      <c r="D4279" s="89" t="s">
        <v>666</v>
      </c>
    </row>
    <row r="4280" spans="1:4" x14ac:dyDescent="0.25">
      <c r="A4280" s="89" t="s">
        <v>149</v>
      </c>
      <c r="B4280" s="89" t="s">
        <v>637</v>
      </c>
      <c r="C4280" s="89">
        <v>62725</v>
      </c>
      <c r="D4280" s="89" t="s">
        <v>666</v>
      </c>
    </row>
    <row r="4281" spans="1:4" x14ac:dyDescent="0.25">
      <c r="A4281" s="89" t="s">
        <v>149</v>
      </c>
      <c r="B4281" s="89" t="s">
        <v>637</v>
      </c>
      <c r="C4281" s="89">
        <v>77026.7</v>
      </c>
      <c r="D4281" s="89" t="s">
        <v>666</v>
      </c>
    </row>
    <row r="4282" spans="1:4" x14ac:dyDescent="0.25">
      <c r="A4282" s="89" t="s">
        <v>149</v>
      </c>
      <c r="B4282" s="89" t="s">
        <v>637</v>
      </c>
      <c r="C4282" s="89">
        <v>215987</v>
      </c>
      <c r="D4282" s="89" t="s">
        <v>666</v>
      </c>
    </row>
    <row r="4283" spans="1:4" x14ac:dyDescent="0.25">
      <c r="A4283" s="89" t="s">
        <v>149</v>
      </c>
      <c r="B4283" s="89" t="s">
        <v>637</v>
      </c>
      <c r="C4283" s="89">
        <v>34986.300000000003</v>
      </c>
      <c r="D4283" s="89" t="s">
        <v>666</v>
      </c>
    </row>
    <row r="4284" spans="1:4" x14ac:dyDescent="0.25">
      <c r="A4284" s="89" t="s">
        <v>149</v>
      </c>
      <c r="B4284" s="89" t="s">
        <v>637</v>
      </c>
      <c r="C4284" s="89">
        <v>112000</v>
      </c>
      <c r="D4284" s="89" t="s">
        <v>666</v>
      </c>
    </row>
    <row r="4285" spans="1:4" x14ac:dyDescent="0.25">
      <c r="A4285" s="89" t="s">
        <v>149</v>
      </c>
      <c r="B4285" s="89" t="s">
        <v>637</v>
      </c>
      <c r="C4285" s="89">
        <v>-2412.46</v>
      </c>
      <c r="D4285" s="89" t="s">
        <v>666</v>
      </c>
    </row>
    <row r="4286" spans="1:4" x14ac:dyDescent="0.25">
      <c r="A4286" s="89" t="s">
        <v>109</v>
      </c>
      <c r="B4286" s="89" t="s">
        <v>616</v>
      </c>
      <c r="C4286" s="89">
        <v>2426334.3199999998</v>
      </c>
      <c r="D4286" s="89" t="s">
        <v>664</v>
      </c>
    </row>
    <row r="4287" spans="1:4" x14ac:dyDescent="0.25">
      <c r="A4287" s="89" t="s">
        <v>109</v>
      </c>
      <c r="B4287" s="89" t="s">
        <v>616</v>
      </c>
      <c r="C4287" s="89">
        <v>476940</v>
      </c>
      <c r="D4287" s="89" t="s">
        <v>663</v>
      </c>
    </row>
    <row r="4288" spans="1:4" x14ac:dyDescent="0.25">
      <c r="A4288" s="89" t="s">
        <v>109</v>
      </c>
      <c r="B4288" s="89" t="s">
        <v>616</v>
      </c>
      <c r="C4288" s="89">
        <v>372986.39</v>
      </c>
      <c r="D4288" s="89" t="s">
        <v>664</v>
      </c>
    </row>
    <row r="4289" spans="1:4" x14ac:dyDescent="0.25">
      <c r="A4289" s="89" t="s">
        <v>109</v>
      </c>
      <c r="B4289" s="89" t="s">
        <v>616</v>
      </c>
      <c r="C4289" s="89">
        <v>338295</v>
      </c>
      <c r="D4289" s="89" t="s">
        <v>664</v>
      </c>
    </row>
    <row r="4290" spans="1:4" x14ac:dyDescent="0.25">
      <c r="A4290" s="89" t="s">
        <v>109</v>
      </c>
      <c r="B4290" s="89" t="s">
        <v>616</v>
      </c>
      <c r="C4290" s="89">
        <v>491896.62</v>
      </c>
      <c r="D4290" s="89" t="s">
        <v>664</v>
      </c>
    </row>
    <row r="4291" spans="1:4" x14ac:dyDescent="0.25">
      <c r="A4291" s="89" t="s">
        <v>109</v>
      </c>
      <c r="B4291" s="89" t="s">
        <v>616</v>
      </c>
      <c r="C4291" s="89">
        <v>2185723</v>
      </c>
      <c r="D4291" s="89" t="s">
        <v>664</v>
      </c>
    </row>
    <row r="4292" spans="1:4" x14ac:dyDescent="0.25">
      <c r="A4292" s="89" t="s">
        <v>109</v>
      </c>
      <c r="B4292" s="89" t="s">
        <v>616</v>
      </c>
      <c r="C4292" s="89">
        <v>313055.06</v>
      </c>
      <c r="D4292" s="89" t="s">
        <v>663</v>
      </c>
    </row>
    <row r="4293" spans="1:4" x14ac:dyDescent="0.25">
      <c r="A4293" s="89" t="s">
        <v>109</v>
      </c>
      <c r="B4293" s="89" t="s">
        <v>616</v>
      </c>
      <c r="C4293" s="89">
        <v>2957519</v>
      </c>
      <c r="D4293" s="89" t="s">
        <v>664</v>
      </c>
    </row>
    <row r="4294" spans="1:4" x14ac:dyDescent="0.25">
      <c r="A4294" s="89" t="s">
        <v>109</v>
      </c>
      <c r="B4294" s="89" t="s">
        <v>616</v>
      </c>
      <c r="C4294" s="89">
        <v>1519068.82</v>
      </c>
      <c r="D4294" s="89" t="s">
        <v>663</v>
      </c>
    </row>
    <row r="4295" spans="1:4" x14ac:dyDescent="0.25">
      <c r="A4295" s="89" t="s">
        <v>109</v>
      </c>
      <c r="B4295" s="89" t="s">
        <v>616</v>
      </c>
      <c r="C4295" s="89">
        <v>-834462.62</v>
      </c>
      <c r="D4295" s="89" t="s">
        <v>664</v>
      </c>
    </row>
    <row r="4296" spans="1:4" x14ac:dyDescent="0.25">
      <c r="A4296" s="89" t="s">
        <v>109</v>
      </c>
      <c r="B4296" s="89" t="s">
        <v>616</v>
      </c>
      <c r="C4296" s="89">
        <v>1124955.5</v>
      </c>
      <c r="D4296" s="89" t="s">
        <v>664</v>
      </c>
    </row>
    <row r="4297" spans="1:4" x14ac:dyDescent="0.25">
      <c r="A4297" s="89" t="s">
        <v>109</v>
      </c>
      <c r="B4297" s="89" t="s">
        <v>616</v>
      </c>
      <c r="C4297" s="89">
        <v>228424.29</v>
      </c>
      <c r="D4297" s="89" t="s">
        <v>666</v>
      </c>
    </row>
    <row r="4298" spans="1:4" x14ac:dyDescent="0.25">
      <c r="A4298" s="89" t="s">
        <v>109</v>
      </c>
      <c r="B4298" s="89" t="s">
        <v>616</v>
      </c>
      <c r="C4298" s="89">
        <v>914013.35</v>
      </c>
      <c r="D4298" s="89" t="s">
        <v>666</v>
      </c>
    </row>
    <row r="4299" spans="1:4" x14ac:dyDescent="0.25">
      <c r="A4299" s="89" t="s">
        <v>109</v>
      </c>
      <c r="B4299" s="89" t="s">
        <v>616</v>
      </c>
      <c r="C4299" s="89">
        <v>7936481</v>
      </c>
      <c r="D4299" s="89" t="s">
        <v>664</v>
      </c>
    </row>
    <row r="4300" spans="1:4" x14ac:dyDescent="0.25">
      <c r="A4300" s="89" t="s">
        <v>109</v>
      </c>
      <c r="B4300" s="89" t="s">
        <v>616</v>
      </c>
      <c r="C4300" s="89">
        <v>13967237.52</v>
      </c>
      <c r="D4300" s="89" t="s">
        <v>664</v>
      </c>
    </row>
    <row r="4301" spans="1:4" x14ac:dyDescent="0.25">
      <c r="A4301" s="89" t="s">
        <v>109</v>
      </c>
      <c r="B4301" s="89" t="s">
        <v>616</v>
      </c>
      <c r="C4301" s="89">
        <v>2584059</v>
      </c>
      <c r="D4301" s="89" t="s">
        <v>664</v>
      </c>
    </row>
    <row r="4302" spans="1:4" x14ac:dyDescent="0.25">
      <c r="A4302" s="89" t="s">
        <v>109</v>
      </c>
      <c r="B4302" s="89" t="s">
        <v>616</v>
      </c>
      <c r="C4302" s="89">
        <v>2648226.94</v>
      </c>
      <c r="D4302" s="89" t="s">
        <v>666</v>
      </c>
    </row>
    <row r="4303" spans="1:4" x14ac:dyDescent="0.25">
      <c r="A4303" s="89" t="s">
        <v>109</v>
      </c>
      <c r="B4303" s="89" t="s">
        <v>616</v>
      </c>
      <c r="C4303" s="89">
        <v>717488</v>
      </c>
      <c r="D4303" s="89" t="s">
        <v>666</v>
      </c>
    </row>
    <row r="4304" spans="1:4" x14ac:dyDescent="0.25">
      <c r="A4304" s="89" t="s">
        <v>109</v>
      </c>
      <c r="B4304" s="89" t="s">
        <v>616</v>
      </c>
      <c r="C4304" s="89">
        <v>3057548</v>
      </c>
      <c r="D4304" s="89" t="s">
        <v>664</v>
      </c>
    </row>
    <row r="4305" spans="1:4" x14ac:dyDescent="0.25">
      <c r="A4305" s="89" t="s">
        <v>109</v>
      </c>
      <c r="B4305" s="89" t="s">
        <v>616</v>
      </c>
      <c r="C4305" s="89">
        <v>790402</v>
      </c>
      <c r="D4305" s="89" t="s">
        <v>666</v>
      </c>
    </row>
    <row r="4306" spans="1:4" x14ac:dyDescent="0.25">
      <c r="A4306" s="89" t="s">
        <v>109</v>
      </c>
      <c r="B4306" s="89" t="s">
        <v>616</v>
      </c>
      <c r="C4306" s="89">
        <v>651303</v>
      </c>
      <c r="D4306" s="89" t="s">
        <v>666</v>
      </c>
    </row>
    <row r="4307" spans="1:4" x14ac:dyDescent="0.25">
      <c r="A4307" s="89" t="s">
        <v>109</v>
      </c>
      <c r="B4307" s="89" t="s">
        <v>616</v>
      </c>
      <c r="C4307" s="89">
        <v>311698</v>
      </c>
      <c r="D4307" s="89" t="s">
        <v>666</v>
      </c>
    </row>
    <row r="4308" spans="1:4" x14ac:dyDescent="0.25">
      <c r="A4308" s="89" t="s">
        <v>109</v>
      </c>
      <c r="B4308" s="89" t="s">
        <v>616</v>
      </c>
      <c r="C4308" s="89">
        <v>433213</v>
      </c>
      <c r="D4308" s="89" t="s">
        <v>666</v>
      </c>
    </row>
    <row r="4309" spans="1:4" x14ac:dyDescent="0.25">
      <c r="A4309" s="89" t="s">
        <v>109</v>
      </c>
      <c r="B4309" s="89" t="s">
        <v>616</v>
      </c>
      <c r="C4309" s="89">
        <v>486973.72</v>
      </c>
      <c r="D4309" s="89" t="s">
        <v>666</v>
      </c>
    </row>
    <row r="4310" spans="1:4" x14ac:dyDescent="0.25">
      <c r="A4310" s="89" t="s">
        <v>109</v>
      </c>
      <c r="B4310" s="89" t="s">
        <v>616</v>
      </c>
      <c r="C4310" s="89">
        <v>-1484535.4</v>
      </c>
      <c r="D4310" s="89" t="s">
        <v>664</v>
      </c>
    </row>
    <row r="4311" spans="1:4" x14ac:dyDescent="0.25">
      <c r="A4311" s="89" t="s">
        <v>109</v>
      </c>
      <c r="B4311" s="89" t="s">
        <v>616</v>
      </c>
      <c r="C4311" s="89">
        <v>1331372</v>
      </c>
      <c r="D4311" s="89" t="s">
        <v>663</v>
      </c>
    </row>
    <row r="4312" spans="1:4" x14ac:dyDescent="0.25">
      <c r="A4312" s="89" t="s">
        <v>109</v>
      </c>
      <c r="B4312" s="89" t="s">
        <v>616</v>
      </c>
      <c r="C4312" s="89">
        <v>133113</v>
      </c>
      <c r="D4312" s="89" t="s">
        <v>666</v>
      </c>
    </row>
    <row r="4313" spans="1:4" x14ac:dyDescent="0.25">
      <c r="A4313" s="89" t="s">
        <v>109</v>
      </c>
      <c r="B4313" s="89" t="s">
        <v>616</v>
      </c>
      <c r="C4313" s="89">
        <v>109325</v>
      </c>
      <c r="D4313" s="89" t="s">
        <v>666</v>
      </c>
    </row>
    <row r="4314" spans="1:4" x14ac:dyDescent="0.25">
      <c r="A4314" s="89" t="s">
        <v>109</v>
      </c>
      <c r="B4314" s="89" t="s">
        <v>616</v>
      </c>
      <c r="C4314" s="89">
        <v>209400.65</v>
      </c>
      <c r="D4314" s="89" t="s">
        <v>666</v>
      </c>
    </row>
    <row r="4315" spans="1:4" x14ac:dyDescent="0.25">
      <c r="A4315" s="89" t="s">
        <v>109</v>
      </c>
      <c r="B4315" s="89" t="s">
        <v>616</v>
      </c>
      <c r="C4315" s="89">
        <v>2252804</v>
      </c>
      <c r="D4315" s="89" t="s">
        <v>664</v>
      </c>
    </row>
    <row r="4316" spans="1:4" x14ac:dyDescent="0.25">
      <c r="A4316" s="89" t="s">
        <v>109</v>
      </c>
      <c r="B4316" s="89" t="s">
        <v>616</v>
      </c>
      <c r="C4316" s="89">
        <v>890372.69</v>
      </c>
      <c r="D4316" s="89" t="s">
        <v>663</v>
      </c>
    </row>
    <row r="4317" spans="1:4" x14ac:dyDescent="0.25">
      <c r="A4317" s="89" t="s">
        <v>109</v>
      </c>
      <c r="B4317" s="89" t="s">
        <v>616</v>
      </c>
      <c r="C4317" s="89">
        <v>1187657.02</v>
      </c>
      <c r="D4317" s="89" t="s">
        <v>663</v>
      </c>
    </row>
    <row r="4318" spans="1:4" x14ac:dyDescent="0.25">
      <c r="A4318" s="89" t="s">
        <v>109</v>
      </c>
      <c r="B4318" s="89" t="s">
        <v>616</v>
      </c>
      <c r="C4318" s="89">
        <v>509530.71</v>
      </c>
      <c r="D4318" s="89" t="s">
        <v>666</v>
      </c>
    </row>
    <row r="4319" spans="1:4" x14ac:dyDescent="0.25">
      <c r="A4319" s="89" t="s">
        <v>109</v>
      </c>
      <c r="B4319" s="89" t="s">
        <v>616</v>
      </c>
      <c r="C4319" s="89">
        <v>2628775</v>
      </c>
      <c r="D4319" s="89" t="s">
        <v>663</v>
      </c>
    </row>
    <row r="4320" spans="1:4" x14ac:dyDescent="0.25">
      <c r="A4320" s="89" t="s">
        <v>109</v>
      </c>
      <c r="B4320" s="89" t="s">
        <v>616</v>
      </c>
      <c r="C4320" s="89">
        <v>32000</v>
      </c>
      <c r="D4320" s="89" t="s">
        <v>663</v>
      </c>
    </row>
    <row r="4321" spans="1:4" x14ac:dyDescent="0.25">
      <c r="A4321" s="89" t="s">
        <v>109</v>
      </c>
      <c r="B4321" s="89" t="s">
        <v>616</v>
      </c>
      <c r="C4321" s="89">
        <v>1867244.78</v>
      </c>
      <c r="D4321" s="89" t="s">
        <v>663</v>
      </c>
    </row>
    <row r="4322" spans="1:4" x14ac:dyDescent="0.25">
      <c r="A4322" s="89" t="s">
        <v>109</v>
      </c>
      <c r="B4322" s="89" t="s">
        <v>616</v>
      </c>
      <c r="C4322" s="89">
        <v>985488</v>
      </c>
      <c r="D4322" s="89" t="s">
        <v>664</v>
      </c>
    </row>
    <row r="4323" spans="1:4" x14ac:dyDescent="0.25">
      <c r="A4323" s="89" t="s">
        <v>109</v>
      </c>
      <c r="B4323" s="89" t="s">
        <v>616</v>
      </c>
      <c r="C4323" s="89">
        <v>1790832</v>
      </c>
      <c r="D4323" s="89" t="s">
        <v>663</v>
      </c>
    </row>
    <row r="4324" spans="1:4" x14ac:dyDescent="0.25">
      <c r="A4324" s="89" t="s">
        <v>109</v>
      </c>
      <c r="B4324" s="89" t="s">
        <v>616</v>
      </c>
      <c r="C4324" s="89">
        <v>858236</v>
      </c>
      <c r="D4324" s="89" t="s">
        <v>664</v>
      </c>
    </row>
    <row r="4325" spans="1:4" x14ac:dyDescent="0.25">
      <c r="A4325" s="89" t="s">
        <v>109</v>
      </c>
      <c r="B4325" s="89" t="s">
        <v>616</v>
      </c>
      <c r="C4325" s="89">
        <v>609555.39</v>
      </c>
      <c r="D4325" s="89" t="s">
        <v>666</v>
      </c>
    </row>
    <row r="4326" spans="1:4" x14ac:dyDescent="0.25">
      <c r="A4326" s="89" t="s">
        <v>109</v>
      </c>
      <c r="B4326" s="89" t="s">
        <v>616</v>
      </c>
      <c r="C4326" s="89">
        <v>837776.44</v>
      </c>
      <c r="D4326" s="89" t="s">
        <v>663</v>
      </c>
    </row>
    <row r="4327" spans="1:4" x14ac:dyDescent="0.25">
      <c r="A4327" s="89" t="s">
        <v>109</v>
      </c>
      <c r="B4327" s="89" t="s">
        <v>616</v>
      </c>
      <c r="C4327" s="89">
        <v>950254.87</v>
      </c>
      <c r="D4327" s="89" t="s">
        <v>663</v>
      </c>
    </row>
    <row r="4328" spans="1:4" x14ac:dyDescent="0.25">
      <c r="A4328" s="89" t="s">
        <v>109</v>
      </c>
      <c r="B4328" s="89" t="s">
        <v>616</v>
      </c>
      <c r="C4328" s="89">
        <v>1484563</v>
      </c>
      <c r="D4328" s="89" t="s">
        <v>664</v>
      </c>
    </row>
    <row r="4329" spans="1:4" x14ac:dyDescent="0.25">
      <c r="A4329" s="89" t="s">
        <v>109</v>
      </c>
      <c r="B4329" s="89" t="s">
        <v>616</v>
      </c>
      <c r="C4329" s="89">
        <v>332230.65999999997</v>
      </c>
      <c r="D4329" s="89" t="s">
        <v>663</v>
      </c>
    </row>
    <row r="4330" spans="1:4" x14ac:dyDescent="0.25">
      <c r="A4330" s="89" t="s">
        <v>109</v>
      </c>
      <c r="B4330" s="89" t="s">
        <v>616</v>
      </c>
      <c r="C4330" s="89">
        <v>1983867.54</v>
      </c>
      <c r="D4330" s="89" t="s">
        <v>664</v>
      </c>
    </row>
    <row r="4331" spans="1:4" x14ac:dyDescent="0.25">
      <c r="A4331" s="89" t="s">
        <v>109</v>
      </c>
      <c r="B4331" s="89" t="s">
        <v>616</v>
      </c>
      <c r="C4331" s="89">
        <v>71151.5</v>
      </c>
      <c r="D4331" s="89" t="s">
        <v>666</v>
      </c>
    </row>
    <row r="4332" spans="1:4" x14ac:dyDescent="0.25">
      <c r="A4332" s="89" t="s">
        <v>109</v>
      </c>
      <c r="B4332" s="89" t="s">
        <v>616</v>
      </c>
      <c r="C4332" s="89">
        <v>892607.28</v>
      </c>
      <c r="D4332" s="89" t="s">
        <v>666</v>
      </c>
    </row>
    <row r="4333" spans="1:4" x14ac:dyDescent="0.25">
      <c r="A4333" s="89" t="s">
        <v>109</v>
      </c>
      <c r="B4333" s="89" t="s">
        <v>616</v>
      </c>
      <c r="C4333" s="89">
        <v>350000</v>
      </c>
      <c r="D4333" s="89" t="s">
        <v>664</v>
      </c>
    </row>
    <row r="4334" spans="1:4" x14ac:dyDescent="0.25">
      <c r="A4334" s="89" t="s">
        <v>109</v>
      </c>
      <c r="B4334" s="89" t="s">
        <v>616</v>
      </c>
      <c r="C4334" s="89">
        <v>860323.32</v>
      </c>
      <c r="D4334" s="89" t="s">
        <v>664</v>
      </c>
    </row>
    <row r="4335" spans="1:4" x14ac:dyDescent="0.25">
      <c r="A4335" s="89" t="s">
        <v>109</v>
      </c>
      <c r="B4335" s="89" t="s">
        <v>616</v>
      </c>
      <c r="C4335" s="89">
        <v>848395.93</v>
      </c>
      <c r="D4335" s="89" t="s">
        <v>666</v>
      </c>
    </row>
    <row r="4336" spans="1:4" x14ac:dyDescent="0.25">
      <c r="A4336" s="89" t="s">
        <v>109</v>
      </c>
      <c r="B4336" s="89" t="s">
        <v>616</v>
      </c>
      <c r="C4336" s="89">
        <v>674002.47</v>
      </c>
      <c r="D4336" s="89" t="s">
        <v>666</v>
      </c>
    </row>
    <row r="4337" spans="1:4" x14ac:dyDescent="0.25">
      <c r="A4337" s="89" t="s">
        <v>109</v>
      </c>
      <c r="B4337" s="89" t="s">
        <v>616</v>
      </c>
      <c r="C4337" s="89">
        <v>88988.84</v>
      </c>
      <c r="D4337" s="89" t="s">
        <v>666</v>
      </c>
    </row>
    <row r="4338" spans="1:4" x14ac:dyDescent="0.25">
      <c r="A4338" s="89" t="s">
        <v>109</v>
      </c>
      <c r="B4338" s="89" t="s">
        <v>616</v>
      </c>
      <c r="C4338" s="89">
        <v>1583370.5</v>
      </c>
      <c r="D4338" s="89" t="s">
        <v>664</v>
      </c>
    </row>
    <row r="4339" spans="1:4" x14ac:dyDescent="0.25">
      <c r="A4339" s="89" t="s">
        <v>109</v>
      </c>
      <c r="B4339" s="89" t="s">
        <v>616</v>
      </c>
      <c r="C4339" s="89">
        <v>426014.01</v>
      </c>
      <c r="D4339" s="89" t="s">
        <v>664</v>
      </c>
    </row>
    <row r="4340" spans="1:4" x14ac:dyDescent="0.25">
      <c r="A4340" s="89" t="s">
        <v>109</v>
      </c>
      <c r="B4340" s="89" t="s">
        <v>616</v>
      </c>
      <c r="C4340" s="89">
        <v>1386088</v>
      </c>
      <c r="D4340" s="89" t="s">
        <v>664</v>
      </c>
    </row>
    <row r="4341" spans="1:4" x14ac:dyDescent="0.25">
      <c r="A4341" s="89" t="s">
        <v>27</v>
      </c>
      <c r="B4341" s="89" t="s">
        <v>616</v>
      </c>
      <c r="C4341" s="89">
        <v>128079.16</v>
      </c>
      <c r="D4341" s="89" t="s">
        <v>666</v>
      </c>
    </row>
    <row r="4342" spans="1:4" x14ac:dyDescent="0.25">
      <c r="A4342" s="89" t="s">
        <v>27</v>
      </c>
      <c r="B4342" s="89" t="s">
        <v>616</v>
      </c>
      <c r="C4342" s="89">
        <v>161548</v>
      </c>
      <c r="D4342" s="89" t="s">
        <v>666</v>
      </c>
    </row>
    <row r="4343" spans="1:4" x14ac:dyDescent="0.25">
      <c r="A4343" s="89" t="s">
        <v>27</v>
      </c>
      <c r="B4343" s="89" t="s">
        <v>616</v>
      </c>
      <c r="C4343" s="89">
        <v>433925.84</v>
      </c>
      <c r="D4343" s="89" t="s">
        <v>666</v>
      </c>
    </row>
    <row r="4344" spans="1:4" x14ac:dyDescent="0.25">
      <c r="A4344" s="89" t="s">
        <v>27</v>
      </c>
      <c r="B4344" s="89" t="s">
        <v>616</v>
      </c>
      <c r="C4344" s="89">
        <v>875367.6</v>
      </c>
      <c r="D4344" s="89" t="s">
        <v>663</v>
      </c>
    </row>
    <row r="4345" spans="1:4" x14ac:dyDescent="0.25">
      <c r="A4345" s="89" t="s">
        <v>27</v>
      </c>
      <c r="B4345" s="89" t="s">
        <v>616</v>
      </c>
      <c r="C4345" s="89">
        <v>2051989.61</v>
      </c>
      <c r="D4345" s="89" t="s">
        <v>663</v>
      </c>
    </row>
    <row r="4346" spans="1:4" x14ac:dyDescent="0.25">
      <c r="A4346" s="89" t="s">
        <v>27</v>
      </c>
      <c r="B4346" s="89" t="s">
        <v>616</v>
      </c>
      <c r="C4346" s="89">
        <v>202546.4</v>
      </c>
      <c r="D4346" s="89" t="s">
        <v>663</v>
      </c>
    </row>
    <row r="4347" spans="1:4" x14ac:dyDescent="0.25">
      <c r="A4347" s="89" t="s">
        <v>27</v>
      </c>
      <c r="B4347" s="89" t="s">
        <v>616</v>
      </c>
      <c r="C4347" s="89">
        <v>1570549</v>
      </c>
      <c r="D4347" s="89" t="s">
        <v>663</v>
      </c>
    </row>
    <row r="4348" spans="1:4" x14ac:dyDescent="0.25">
      <c r="A4348" s="89" t="s">
        <v>27</v>
      </c>
      <c r="B4348" s="89" t="s">
        <v>616</v>
      </c>
      <c r="C4348" s="89">
        <v>82182</v>
      </c>
      <c r="D4348" s="89" t="s">
        <v>666</v>
      </c>
    </row>
    <row r="4349" spans="1:4" x14ac:dyDescent="0.25">
      <c r="A4349" s="89" t="s">
        <v>27</v>
      </c>
      <c r="B4349" s="89" t="s">
        <v>616</v>
      </c>
      <c r="C4349" s="89">
        <v>730047</v>
      </c>
      <c r="D4349" s="89" t="s">
        <v>666</v>
      </c>
    </row>
    <row r="4350" spans="1:4" x14ac:dyDescent="0.25">
      <c r="A4350" s="89" t="s">
        <v>27</v>
      </c>
      <c r="B4350" s="89" t="s">
        <v>616</v>
      </c>
      <c r="C4350" s="89">
        <v>1753408</v>
      </c>
      <c r="D4350" s="89" t="s">
        <v>663</v>
      </c>
    </row>
    <row r="4351" spans="1:4" x14ac:dyDescent="0.25">
      <c r="A4351" s="89" t="s">
        <v>27</v>
      </c>
      <c r="B4351" s="89" t="s">
        <v>616</v>
      </c>
      <c r="C4351" s="89">
        <v>549874</v>
      </c>
      <c r="D4351" s="89" t="s">
        <v>666</v>
      </c>
    </row>
    <row r="4352" spans="1:4" x14ac:dyDescent="0.25">
      <c r="A4352" s="89" t="s">
        <v>27</v>
      </c>
      <c r="B4352" s="89" t="s">
        <v>616</v>
      </c>
      <c r="C4352" s="89">
        <v>228313</v>
      </c>
      <c r="D4352" s="89" t="s">
        <v>666</v>
      </c>
    </row>
    <row r="4353" spans="1:4" x14ac:dyDescent="0.25">
      <c r="A4353" s="89" t="s">
        <v>27</v>
      </c>
      <c r="B4353" s="89" t="s">
        <v>616</v>
      </c>
      <c r="C4353" s="89">
        <v>132778</v>
      </c>
      <c r="D4353" s="89" t="s">
        <v>663</v>
      </c>
    </row>
    <row r="4354" spans="1:4" x14ac:dyDescent="0.25">
      <c r="A4354" s="89" t="s">
        <v>27</v>
      </c>
      <c r="B4354" s="89" t="s">
        <v>616</v>
      </c>
      <c r="C4354" s="89">
        <v>150165</v>
      </c>
      <c r="D4354" s="89" t="s">
        <v>666</v>
      </c>
    </row>
    <row r="4355" spans="1:4" x14ac:dyDescent="0.25">
      <c r="A4355" s="89" t="s">
        <v>27</v>
      </c>
      <c r="B4355" s="89" t="s">
        <v>616</v>
      </c>
      <c r="C4355" s="89">
        <v>279921</v>
      </c>
      <c r="D4355" s="89" t="s">
        <v>666</v>
      </c>
    </row>
    <row r="4356" spans="1:4" x14ac:dyDescent="0.25">
      <c r="A4356" s="89" t="s">
        <v>27</v>
      </c>
      <c r="B4356" s="89" t="s">
        <v>616</v>
      </c>
      <c r="C4356" s="89">
        <v>322221</v>
      </c>
      <c r="D4356" s="89" t="s">
        <v>666</v>
      </c>
    </row>
    <row r="4357" spans="1:4" x14ac:dyDescent="0.25">
      <c r="A4357" s="89" t="s">
        <v>27</v>
      </c>
      <c r="B4357" s="89" t="s">
        <v>616</v>
      </c>
      <c r="C4357" s="89">
        <v>471349</v>
      </c>
      <c r="D4357" s="89" t="s">
        <v>666</v>
      </c>
    </row>
    <row r="4358" spans="1:4" x14ac:dyDescent="0.25">
      <c r="A4358" s="89" t="s">
        <v>27</v>
      </c>
      <c r="B4358" s="89" t="s">
        <v>616</v>
      </c>
      <c r="C4358" s="89">
        <v>946773</v>
      </c>
      <c r="D4358" s="89" t="s">
        <v>666</v>
      </c>
    </row>
    <row r="4359" spans="1:4" x14ac:dyDescent="0.25">
      <c r="A4359" s="89" t="s">
        <v>27</v>
      </c>
      <c r="B4359" s="89" t="s">
        <v>616</v>
      </c>
      <c r="C4359" s="89">
        <v>292102</v>
      </c>
      <c r="D4359" s="89" t="s">
        <v>666</v>
      </c>
    </row>
    <row r="4360" spans="1:4" x14ac:dyDescent="0.25">
      <c r="A4360" s="89" t="s">
        <v>27</v>
      </c>
      <c r="B4360" s="89" t="s">
        <v>616</v>
      </c>
      <c r="C4360" s="89">
        <v>776675</v>
      </c>
      <c r="D4360" s="89" t="s">
        <v>663</v>
      </c>
    </row>
    <row r="4361" spans="1:4" x14ac:dyDescent="0.25">
      <c r="A4361" s="89" t="s">
        <v>27</v>
      </c>
      <c r="B4361" s="89" t="s">
        <v>616</v>
      </c>
      <c r="C4361" s="89">
        <v>306311</v>
      </c>
      <c r="D4361" s="89" t="s">
        <v>663</v>
      </c>
    </row>
    <row r="4362" spans="1:4" x14ac:dyDescent="0.25">
      <c r="A4362" s="89" t="s">
        <v>27</v>
      </c>
      <c r="B4362" s="89" t="s">
        <v>616</v>
      </c>
      <c r="C4362" s="89">
        <v>282835</v>
      </c>
      <c r="D4362" s="89" t="s">
        <v>666</v>
      </c>
    </row>
    <row r="4363" spans="1:4" x14ac:dyDescent="0.25">
      <c r="A4363" s="89" t="s">
        <v>27</v>
      </c>
      <c r="B4363" s="89" t="s">
        <v>616</v>
      </c>
      <c r="C4363" s="89">
        <v>1178214</v>
      </c>
      <c r="D4363" s="89" t="s">
        <v>663</v>
      </c>
    </row>
    <row r="4364" spans="1:4" x14ac:dyDescent="0.25">
      <c r="A4364" s="89" t="s">
        <v>27</v>
      </c>
      <c r="B4364" s="89" t="s">
        <v>616</v>
      </c>
      <c r="C4364" s="89">
        <v>769011.12</v>
      </c>
      <c r="D4364" s="89" t="s">
        <v>663</v>
      </c>
    </row>
    <row r="4365" spans="1:4" x14ac:dyDescent="0.25">
      <c r="A4365" s="89" t="s">
        <v>27</v>
      </c>
      <c r="B4365" s="89" t="s">
        <v>616</v>
      </c>
      <c r="C4365" s="89">
        <v>1308974</v>
      </c>
      <c r="D4365" s="89" t="s">
        <v>663</v>
      </c>
    </row>
    <row r="4366" spans="1:4" x14ac:dyDescent="0.25">
      <c r="A4366" s="89" t="s">
        <v>27</v>
      </c>
      <c r="B4366" s="89" t="s">
        <v>616</v>
      </c>
      <c r="C4366" s="89">
        <v>923371.32</v>
      </c>
      <c r="D4366" s="89" t="s">
        <v>666</v>
      </c>
    </row>
    <row r="4367" spans="1:4" x14ac:dyDescent="0.25">
      <c r="A4367" s="89" t="s">
        <v>27</v>
      </c>
      <c r="B4367" s="89" t="s">
        <v>616</v>
      </c>
      <c r="C4367" s="89">
        <v>125164</v>
      </c>
      <c r="D4367" s="89" t="s">
        <v>666</v>
      </c>
    </row>
    <row r="4368" spans="1:4" x14ac:dyDescent="0.25">
      <c r="A4368" s="89" t="s">
        <v>27</v>
      </c>
      <c r="B4368" s="89" t="s">
        <v>616</v>
      </c>
      <c r="C4368" s="89">
        <v>293907</v>
      </c>
      <c r="D4368" s="89" t="s">
        <v>666</v>
      </c>
    </row>
    <row r="4369" spans="1:4" x14ac:dyDescent="0.25">
      <c r="A4369" s="89" t="s">
        <v>27</v>
      </c>
      <c r="B4369" s="89" t="s">
        <v>616</v>
      </c>
      <c r="C4369" s="89">
        <v>1961546.1</v>
      </c>
      <c r="D4369" s="89" t="s">
        <v>666</v>
      </c>
    </row>
    <row r="4370" spans="1:4" x14ac:dyDescent="0.25">
      <c r="A4370" s="89" t="s">
        <v>27</v>
      </c>
      <c r="B4370" s="89" t="s">
        <v>616</v>
      </c>
      <c r="C4370" s="89">
        <v>50000</v>
      </c>
      <c r="D4370" s="89" t="s">
        <v>666</v>
      </c>
    </row>
    <row r="4371" spans="1:4" x14ac:dyDescent="0.25">
      <c r="A4371" s="89" t="s">
        <v>27</v>
      </c>
      <c r="B4371" s="89" t="s">
        <v>616</v>
      </c>
      <c r="C4371" s="89">
        <v>1244563.2446000001</v>
      </c>
      <c r="D4371" s="89" t="s">
        <v>663</v>
      </c>
    </row>
    <row r="4372" spans="1:4" x14ac:dyDescent="0.25">
      <c r="A4372" s="89" t="s">
        <v>27</v>
      </c>
      <c r="B4372" s="89" t="s">
        <v>616</v>
      </c>
      <c r="C4372" s="89">
        <v>1131221.3500000001</v>
      </c>
      <c r="D4372" s="89" t="s">
        <v>665</v>
      </c>
    </row>
    <row r="4373" spans="1:4" x14ac:dyDescent="0.25">
      <c r="A4373" s="89" t="s">
        <v>27</v>
      </c>
      <c r="B4373" s="89" t="s">
        <v>616</v>
      </c>
      <c r="C4373" s="89">
        <v>50000</v>
      </c>
      <c r="D4373" s="89" t="s">
        <v>666</v>
      </c>
    </row>
    <row r="4374" spans="1:4" x14ac:dyDescent="0.25">
      <c r="A4374" s="89" t="s">
        <v>27</v>
      </c>
      <c r="B4374" s="89" t="s">
        <v>616</v>
      </c>
      <c r="C4374" s="89">
        <v>145886</v>
      </c>
      <c r="D4374" s="89" t="s">
        <v>663</v>
      </c>
    </row>
    <row r="4375" spans="1:4" x14ac:dyDescent="0.25">
      <c r="A4375" s="89" t="s">
        <v>27</v>
      </c>
      <c r="B4375" s="89" t="s">
        <v>616</v>
      </c>
      <c r="C4375" s="89">
        <v>2078507</v>
      </c>
      <c r="D4375" s="89" t="s">
        <v>665</v>
      </c>
    </row>
    <row r="4376" spans="1:4" x14ac:dyDescent="0.25">
      <c r="A4376" s="89" t="s">
        <v>148</v>
      </c>
      <c r="B4376" s="89" t="s">
        <v>615</v>
      </c>
      <c r="C4376" s="89">
        <v>3500000</v>
      </c>
      <c r="D4376" s="89" t="s">
        <v>663</v>
      </c>
    </row>
    <row r="4377" spans="1:4" x14ac:dyDescent="0.25">
      <c r="A4377" s="89" t="s">
        <v>148</v>
      </c>
      <c r="B4377" s="89" t="s">
        <v>615</v>
      </c>
      <c r="C4377" s="89">
        <v>2694386</v>
      </c>
      <c r="D4377" s="89" t="s">
        <v>666</v>
      </c>
    </row>
    <row r="4378" spans="1:4" x14ac:dyDescent="0.25">
      <c r="A4378" s="89" t="s">
        <v>148</v>
      </c>
      <c r="B4378" s="89" t="s">
        <v>615</v>
      </c>
      <c r="C4378" s="89">
        <v>5513610</v>
      </c>
      <c r="D4378" s="89" t="s">
        <v>663</v>
      </c>
    </row>
    <row r="4379" spans="1:4" x14ac:dyDescent="0.25">
      <c r="A4379" s="89" t="s">
        <v>148</v>
      </c>
      <c r="B4379" s="89" t="s">
        <v>615</v>
      </c>
      <c r="C4379" s="89">
        <v>4906906</v>
      </c>
      <c r="D4379" s="89" t="s">
        <v>666</v>
      </c>
    </row>
    <row r="4380" spans="1:4" x14ac:dyDescent="0.25">
      <c r="A4380" s="89" t="s">
        <v>148</v>
      </c>
      <c r="B4380" s="89" t="s">
        <v>615</v>
      </c>
      <c r="C4380" s="89">
        <v>8773624</v>
      </c>
      <c r="D4380" s="89" t="s">
        <v>666</v>
      </c>
    </row>
    <row r="4381" spans="1:4" x14ac:dyDescent="0.25">
      <c r="A4381" s="89" t="s">
        <v>148</v>
      </c>
      <c r="B4381" s="89" t="s">
        <v>615</v>
      </c>
      <c r="C4381" s="89">
        <v>964092</v>
      </c>
      <c r="D4381" s="89" t="s">
        <v>663</v>
      </c>
    </row>
    <row r="4382" spans="1:4" x14ac:dyDescent="0.25">
      <c r="A4382" s="89" t="s">
        <v>148</v>
      </c>
      <c r="B4382" s="89" t="s">
        <v>615</v>
      </c>
      <c r="C4382" s="89">
        <v>2554864</v>
      </c>
      <c r="D4382" s="89" t="s">
        <v>666</v>
      </c>
    </row>
    <row r="4383" spans="1:4" x14ac:dyDescent="0.25">
      <c r="A4383" s="89" t="s">
        <v>148</v>
      </c>
      <c r="B4383" s="89" t="s">
        <v>615</v>
      </c>
      <c r="C4383" s="89">
        <v>2593374</v>
      </c>
      <c r="D4383" s="89" t="s">
        <v>663</v>
      </c>
    </row>
    <row r="4384" spans="1:4" x14ac:dyDescent="0.25">
      <c r="A4384" s="89" t="s">
        <v>148</v>
      </c>
      <c r="B4384" s="89" t="s">
        <v>615</v>
      </c>
      <c r="C4384" s="89">
        <v>2707018</v>
      </c>
      <c r="D4384" s="89" t="s">
        <v>663</v>
      </c>
    </row>
    <row r="4385" spans="1:4" x14ac:dyDescent="0.25">
      <c r="A4385" s="89" t="s">
        <v>148</v>
      </c>
      <c r="B4385" s="89" t="s">
        <v>615</v>
      </c>
      <c r="C4385" s="89">
        <v>1364558</v>
      </c>
      <c r="D4385" s="89" t="s">
        <v>666</v>
      </c>
    </row>
    <row r="4386" spans="1:4" x14ac:dyDescent="0.25">
      <c r="A4386" s="89" t="s">
        <v>148</v>
      </c>
      <c r="B4386" s="89" t="s">
        <v>615</v>
      </c>
      <c r="C4386" s="89">
        <v>1055721</v>
      </c>
      <c r="D4386" s="89" t="s">
        <v>663</v>
      </c>
    </row>
    <row r="4387" spans="1:4" x14ac:dyDescent="0.25">
      <c r="A4387" s="89" t="s">
        <v>148</v>
      </c>
      <c r="B4387" s="89" t="s">
        <v>615</v>
      </c>
      <c r="C4387" s="89">
        <v>947717</v>
      </c>
      <c r="D4387" s="89" t="s">
        <v>666</v>
      </c>
    </row>
    <row r="4388" spans="1:4" x14ac:dyDescent="0.25">
      <c r="A4388" s="89" t="s">
        <v>148</v>
      </c>
      <c r="B4388" s="89" t="s">
        <v>615</v>
      </c>
      <c r="C4388" s="89">
        <v>1475055</v>
      </c>
      <c r="D4388" s="89" t="s">
        <v>666</v>
      </c>
    </row>
    <row r="4389" spans="1:4" x14ac:dyDescent="0.25">
      <c r="A4389" s="89" t="s">
        <v>148</v>
      </c>
      <c r="B4389" s="89" t="s">
        <v>615</v>
      </c>
      <c r="C4389" s="89">
        <v>618828</v>
      </c>
      <c r="D4389" s="89" t="s">
        <v>663</v>
      </c>
    </row>
    <row r="4390" spans="1:4" x14ac:dyDescent="0.25">
      <c r="A4390" s="89" t="s">
        <v>148</v>
      </c>
      <c r="B4390" s="89" t="s">
        <v>615</v>
      </c>
      <c r="C4390" s="89">
        <v>-272806.26</v>
      </c>
      <c r="D4390" s="89" t="s">
        <v>663</v>
      </c>
    </row>
    <row r="4391" spans="1:4" x14ac:dyDescent="0.25">
      <c r="A4391" s="89" t="s">
        <v>148</v>
      </c>
      <c r="B4391" s="89" t="s">
        <v>615</v>
      </c>
      <c r="C4391" s="89">
        <v>-171199.78</v>
      </c>
      <c r="D4391" s="89" t="s">
        <v>666</v>
      </c>
    </row>
    <row r="4392" spans="1:4" x14ac:dyDescent="0.25">
      <c r="A4392" s="89" t="s">
        <v>148</v>
      </c>
      <c r="B4392" s="89" t="s">
        <v>615</v>
      </c>
      <c r="C4392" s="89">
        <v>2077053</v>
      </c>
      <c r="D4392" s="89" t="s">
        <v>663</v>
      </c>
    </row>
    <row r="4393" spans="1:4" x14ac:dyDescent="0.25">
      <c r="A4393" s="89" t="s">
        <v>148</v>
      </c>
      <c r="B4393" s="89" t="s">
        <v>615</v>
      </c>
      <c r="C4393" s="89">
        <v>433276</v>
      </c>
      <c r="D4393" s="89" t="s">
        <v>666</v>
      </c>
    </row>
    <row r="4394" spans="1:4" x14ac:dyDescent="0.25">
      <c r="A4394" s="89" t="s">
        <v>148</v>
      </c>
      <c r="B4394" s="89" t="s">
        <v>615</v>
      </c>
      <c r="C4394" s="89">
        <v>2990000</v>
      </c>
      <c r="D4394" s="89" t="s">
        <v>663</v>
      </c>
    </row>
    <row r="4395" spans="1:4" x14ac:dyDescent="0.25">
      <c r="A4395" s="89" t="s">
        <v>148</v>
      </c>
      <c r="B4395" s="89" t="s">
        <v>615</v>
      </c>
      <c r="C4395" s="89">
        <v>1992993</v>
      </c>
      <c r="D4395" s="89" t="s">
        <v>663</v>
      </c>
    </row>
    <row r="4396" spans="1:4" x14ac:dyDescent="0.25">
      <c r="A4396" s="89" t="s">
        <v>148</v>
      </c>
      <c r="B4396" s="89" t="s">
        <v>615</v>
      </c>
      <c r="C4396" s="89">
        <v>869794.1</v>
      </c>
      <c r="D4396" s="89" t="s">
        <v>666</v>
      </c>
    </row>
    <row r="4397" spans="1:4" x14ac:dyDescent="0.25">
      <c r="A4397" s="89" t="s">
        <v>148</v>
      </c>
      <c r="B4397" s="89" t="s">
        <v>615</v>
      </c>
      <c r="C4397" s="89">
        <v>952553.33</v>
      </c>
      <c r="D4397" s="89" t="s">
        <v>666</v>
      </c>
    </row>
    <row r="4398" spans="1:4" x14ac:dyDescent="0.25">
      <c r="A4398" s="89" t="s">
        <v>148</v>
      </c>
      <c r="B4398" s="89" t="s">
        <v>615</v>
      </c>
      <c r="C4398" s="89">
        <v>842826</v>
      </c>
      <c r="D4398" s="89" t="s">
        <v>663</v>
      </c>
    </row>
    <row r="4399" spans="1:4" x14ac:dyDescent="0.25">
      <c r="A4399" s="89" t="s">
        <v>148</v>
      </c>
      <c r="B4399" s="89" t="s">
        <v>615</v>
      </c>
      <c r="C4399" s="89">
        <v>1680607</v>
      </c>
      <c r="D4399" s="89" t="s">
        <v>666</v>
      </c>
    </row>
    <row r="4400" spans="1:4" x14ac:dyDescent="0.25">
      <c r="A4400" s="89" t="s">
        <v>148</v>
      </c>
      <c r="B4400" s="89" t="s">
        <v>615</v>
      </c>
      <c r="C4400" s="89">
        <v>1171073</v>
      </c>
      <c r="D4400" s="89" t="s">
        <v>663</v>
      </c>
    </row>
    <row r="4401" spans="1:4" x14ac:dyDescent="0.25">
      <c r="A4401" s="89" t="s">
        <v>148</v>
      </c>
      <c r="B4401" s="89" t="s">
        <v>615</v>
      </c>
      <c r="C4401" s="89">
        <v>4464257</v>
      </c>
      <c r="D4401" s="89" t="s">
        <v>663</v>
      </c>
    </row>
    <row r="4402" spans="1:4" x14ac:dyDescent="0.25">
      <c r="A4402" s="89" t="s">
        <v>148</v>
      </c>
      <c r="B4402" s="89" t="s">
        <v>615</v>
      </c>
      <c r="C4402" s="89">
        <v>1198579</v>
      </c>
      <c r="D4402" s="89" t="s">
        <v>663</v>
      </c>
    </row>
    <row r="4403" spans="1:4" x14ac:dyDescent="0.25">
      <c r="A4403" s="89" t="s">
        <v>148</v>
      </c>
      <c r="B4403" s="89" t="s">
        <v>615</v>
      </c>
      <c r="C4403" s="89">
        <v>1574871</v>
      </c>
      <c r="D4403" s="89" t="s">
        <v>666</v>
      </c>
    </row>
    <row r="4404" spans="1:4" x14ac:dyDescent="0.25">
      <c r="A4404" s="89" t="s">
        <v>148</v>
      </c>
      <c r="B4404" s="89" t="s">
        <v>615</v>
      </c>
      <c r="C4404" s="89">
        <v>4903320</v>
      </c>
      <c r="D4404" s="89" t="s">
        <v>663</v>
      </c>
    </row>
    <row r="4405" spans="1:4" x14ac:dyDescent="0.25">
      <c r="A4405" s="89" t="s">
        <v>148</v>
      </c>
      <c r="B4405" s="89" t="s">
        <v>615</v>
      </c>
      <c r="C4405" s="89">
        <v>4015708.94</v>
      </c>
      <c r="D4405" s="89" t="s">
        <v>663</v>
      </c>
    </row>
    <row r="4406" spans="1:4" x14ac:dyDescent="0.25">
      <c r="A4406" s="89" t="s">
        <v>148</v>
      </c>
      <c r="B4406" s="89" t="s">
        <v>615</v>
      </c>
      <c r="C4406" s="89">
        <v>3000000</v>
      </c>
      <c r="D4406" s="89" t="s">
        <v>663</v>
      </c>
    </row>
    <row r="4407" spans="1:4" x14ac:dyDescent="0.25">
      <c r="A4407" s="89" t="s">
        <v>148</v>
      </c>
      <c r="B4407" s="89" t="s">
        <v>615</v>
      </c>
      <c r="C4407" s="89">
        <v>3384354</v>
      </c>
      <c r="D4407" s="89" t="s">
        <v>666</v>
      </c>
    </row>
    <row r="4408" spans="1:4" x14ac:dyDescent="0.25">
      <c r="A4408" s="89" t="s">
        <v>148</v>
      </c>
      <c r="B4408" s="89" t="s">
        <v>615</v>
      </c>
      <c r="C4408" s="89">
        <v>458782</v>
      </c>
      <c r="D4408" s="89" t="s">
        <v>663</v>
      </c>
    </row>
    <row r="4409" spans="1:4" x14ac:dyDescent="0.25">
      <c r="A4409" s="89" t="s">
        <v>148</v>
      </c>
      <c r="B4409" s="89" t="s">
        <v>615</v>
      </c>
      <c r="C4409" s="89">
        <v>1594858</v>
      </c>
      <c r="D4409" s="89" t="s">
        <v>663</v>
      </c>
    </row>
    <row r="4410" spans="1:4" x14ac:dyDescent="0.25">
      <c r="A4410" s="89" t="s">
        <v>148</v>
      </c>
      <c r="B4410" s="89" t="s">
        <v>615</v>
      </c>
      <c r="C4410" s="89">
        <v>2767287</v>
      </c>
      <c r="D4410" s="89" t="s">
        <v>666</v>
      </c>
    </row>
    <row r="4411" spans="1:4" x14ac:dyDescent="0.25">
      <c r="A4411" s="89" t="s">
        <v>148</v>
      </c>
      <c r="B4411" s="89" t="s">
        <v>615</v>
      </c>
      <c r="C4411" s="89">
        <v>1070000</v>
      </c>
      <c r="D4411" s="89" t="s">
        <v>663</v>
      </c>
    </row>
    <row r="4412" spans="1:4" x14ac:dyDescent="0.25">
      <c r="A4412" s="89" t="s">
        <v>148</v>
      </c>
      <c r="B4412" s="89" t="s">
        <v>615</v>
      </c>
      <c r="C4412" s="89">
        <v>2144971.2000000002</v>
      </c>
      <c r="D4412" s="89" t="s">
        <v>666</v>
      </c>
    </row>
    <row r="4413" spans="1:4" x14ac:dyDescent="0.25">
      <c r="A4413" s="89" t="s">
        <v>148</v>
      </c>
      <c r="B4413" s="89" t="s">
        <v>615</v>
      </c>
      <c r="C4413" s="89">
        <v>2782853</v>
      </c>
      <c r="D4413" s="89" t="s">
        <v>663</v>
      </c>
    </row>
    <row r="4414" spans="1:4" x14ac:dyDescent="0.25">
      <c r="A4414" s="89" t="s">
        <v>148</v>
      </c>
      <c r="B4414" s="89" t="s">
        <v>615</v>
      </c>
      <c r="C4414" s="89">
        <v>748524</v>
      </c>
      <c r="D4414" s="89" t="s">
        <v>663</v>
      </c>
    </row>
    <row r="4415" spans="1:4" x14ac:dyDescent="0.25">
      <c r="A4415" s="89" t="s">
        <v>148</v>
      </c>
      <c r="B4415" s="89" t="s">
        <v>615</v>
      </c>
      <c r="C4415" s="89">
        <v>4710750</v>
      </c>
      <c r="D4415" s="89" t="s">
        <v>666</v>
      </c>
    </row>
    <row r="4416" spans="1:4" x14ac:dyDescent="0.25">
      <c r="A4416" s="89" t="s">
        <v>148</v>
      </c>
      <c r="B4416" s="89" t="s">
        <v>615</v>
      </c>
      <c r="C4416" s="89">
        <v>4383104</v>
      </c>
      <c r="D4416" s="89" t="s">
        <v>663</v>
      </c>
    </row>
    <row r="4417" spans="1:4" x14ac:dyDescent="0.25">
      <c r="A4417" s="89" t="s">
        <v>148</v>
      </c>
      <c r="B4417" s="89" t="s">
        <v>615</v>
      </c>
      <c r="C4417" s="89">
        <v>50000</v>
      </c>
      <c r="D4417" s="89" t="s">
        <v>666</v>
      </c>
    </row>
    <row r="4418" spans="1:4" x14ac:dyDescent="0.25">
      <c r="A4418" s="89" t="s">
        <v>148</v>
      </c>
      <c r="B4418" s="89" t="s">
        <v>615</v>
      </c>
      <c r="C4418" s="89">
        <v>184607</v>
      </c>
      <c r="D4418" s="89" t="s">
        <v>663</v>
      </c>
    </row>
    <row r="4419" spans="1:4" x14ac:dyDescent="0.25">
      <c r="A4419" s="89" t="s">
        <v>148</v>
      </c>
      <c r="B4419" s="89" t="s">
        <v>615</v>
      </c>
      <c r="C4419" s="89">
        <v>1287500</v>
      </c>
      <c r="D4419" s="89" t="s">
        <v>663</v>
      </c>
    </row>
    <row r="4420" spans="1:4" x14ac:dyDescent="0.25">
      <c r="A4420" s="89" t="s">
        <v>148</v>
      </c>
      <c r="B4420" s="89" t="s">
        <v>615</v>
      </c>
      <c r="C4420" s="89">
        <v>370898</v>
      </c>
      <c r="D4420" s="89" t="s">
        <v>666</v>
      </c>
    </row>
    <row r="4421" spans="1:4" x14ac:dyDescent="0.25">
      <c r="A4421" s="89" t="s">
        <v>148</v>
      </c>
      <c r="B4421" s="89" t="s">
        <v>615</v>
      </c>
      <c r="C4421" s="89">
        <v>1101628</v>
      </c>
      <c r="D4421" s="89" t="s">
        <v>663</v>
      </c>
    </row>
    <row r="4422" spans="1:4" x14ac:dyDescent="0.25">
      <c r="A4422" s="89" t="s">
        <v>148</v>
      </c>
      <c r="B4422" s="89" t="s">
        <v>615</v>
      </c>
      <c r="C4422" s="89">
        <v>28200</v>
      </c>
      <c r="D4422" s="89" t="s">
        <v>666</v>
      </c>
    </row>
    <row r="4423" spans="1:4" x14ac:dyDescent="0.25">
      <c r="A4423" s="89" t="s">
        <v>148</v>
      </c>
      <c r="B4423" s="89" t="s">
        <v>615</v>
      </c>
      <c r="C4423" s="89">
        <v>4486206</v>
      </c>
      <c r="D4423" s="89" t="s">
        <v>666</v>
      </c>
    </row>
    <row r="4424" spans="1:4" x14ac:dyDescent="0.25">
      <c r="A4424" s="89" t="s">
        <v>148</v>
      </c>
      <c r="B4424" s="89" t="s">
        <v>615</v>
      </c>
      <c r="C4424" s="89">
        <v>50000</v>
      </c>
      <c r="D4424" s="89" t="s">
        <v>666</v>
      </c>
    </row>
    <row r="4425" spans="1:4" x14ac:dyDescent="0.25">
      <c r="A4425" s="89" t="s">
        <v>148</v>
      </c>
      <c r="B4425" s="89" t="s">
        <v>615</v>
      </c>
      <c r="C4425" s="89">
        <v>800780.84</v>
      </c>
      <c r="D4425" s="89" t="s">
        <v>663</v>
      </c>
    </row>
    <row r="4426" spans="1:4" x14ac:dyDescent="0.25">
      <c r="A4426" s="89" t="s">
        <v>148</v>
      </c>
      <c r="B4426" s="89" t="s">
        <v>615</v>
      </c>
      <c r="C4426" s="89">
        <v>3434904.32</v>
      </c>
      <c r="D4426" s="89" t="s">
        <v>666</v>
      </c>
    </row>
    <row r="4427" spans="1:4" x14ac:dyDescent="0.25">
      <c r="A4427" s="89" t="s">
        <v>148</v>
      </c>
      <c r="B4427" s="89" t="s">
        <v>615</v>
      </c>
      <c r="C4427" s="89">
        <v>2149207</v>
      </c>
      <c r="D4427" s="89" t="s">
        <v>663</v>
      </c>
    </row>
    <row r="4428" spans="1:4" x14ac:dyDescent="0.25">
      <c r="A4428" s="89" t="s">
        <v>148</v>
      </c>
      <c r="B4428" s="89" t="s">
        <v>615</v>
      </c>
      <c r="C4428" s="89">
        <v>1829297.86</v>
      </c>
      <c r="D4428" s="89" t="s">
        <v>666</v>
      </c>
    </row>
    <row r="4429" spans="1:4" x14ac:dyDescent="0.25">
      <c r="A4429" s="89" t="s">
        <v>148</v>
      </c>
      <c r="B4429" s="89" t="s">
        <v>615</v>
      </c>
      <c r="C4429" s="89">
        <v>1781449.77</v>
      </c>
      <c r="D4429" s="89" t="s">
        <v>666</v>
      </c>
    </row>
    <row r="4430" spans="1:4" x14ac:dyDescent="0.25">
      <c r="A4430" s="89" t="s">
        <v>148</v>
      </c>
      <c r="B4430" s="89" t="s">
        <v>615</v>
      </c>
      <c r="C4430" s="89">
        <v>50000</v>
      </c>
      <c r="D4430" s="89" t="s">
        <v>666</v>
      </c>
    </row>
    <row r="4431" spans="1:4" x14ac:dyDescent="0.25">
      <c r="A4431" s="89" t="s">
        <v>148</v>
      </c>
      <c r="B4431" s="89" t="s">
        <v>615</v>
      </c>
      <c r="C4431" s="89">
        <v>307289.13</v>
      </c>
      <c r="D4431" s="89" t="s">
        <v>666</v>
      </c>
    </row>
    <row r="4432" spans="1:4" x14ac:dyDescent="0.25">
      <c r="A4432" s="89" t="s">
        <v>148</v>
      </c>
      <c r="B4432" s="89" t="s">
        <v>615</v>
      </c>
      <c r="C4432" s="89">
        <v>547430</v>
      </c>
      <c r="D4432" s="89" t="s">
        <v>663</v>
      </c>
    </row>
    <row r="4433" spans="1:4" x14ac:dyDescent="0.25">
      <c r="A4433" s="89" t="s">
        <v>148</v>
      </c>
      <c r="B4433" s="89" t="s">
        <v>615</v>
      </c>
      <c r="C4433" s="89">
        <v>2877081</v>
      </c>
      <c r="D4433" s="89" t="s">
        <v>666</v>
      </c>
    </row>
    <row r="4434" spans="1:4" x14ac:dyDescent="0.25">
      <c r="A4434" s="89" t="s">
        <v>148</v>
      </c>
      <c r="B4434" s="89" t="s">
        <v>615</v>
      </c>
      <c r="C4434" s="89">
        <v>50000</v>
      </c>
      <c r="D4434" s="89" t="s">
        <v>666</v>
      </c>
    </row>
    <row r="4435" spans="1:4" x14ac:dyDescent="0.25">
      <c r="A4435" s="89" t="s">
        <v>148</v>
      </c>
      <c r="B4435" s="89" t="s">
        <v>615</v>
      </c>
      <c r="C4435" s="89">
        <v>679982.28</v>
      </c>
      <c r="D4435" s="89" t="s">
        <v>666</v>
      </c>
    </row>
    <row r="4436" spans="1:4" x14ac:dyDescent="0.25">
      <c r="A4436" s="89" t="s">
        <v>148</v>
      </c>
      <c r="B4436" s="89" t="s">
        <v>615</v>
      </c>
      <c r="C4436" s="89">
        <v>1763353.54</v>
      </c>
      <c r="D4436" s="89" t="s">
        <v>666</v>
      </c>
    </row>
    <row r="4437" spans="1:4" x14ac:dyDescent="0.25">
      <c r="A4437" s="89" t="s">
        <v>148</v>
      </c>
      <c r="B4437" s="89" t="s">
        <v>615</v>
      </c>
      <c r="C4437" s="89">
        <v>50000</v>
      </c>
      <c r="D4437" s="89" t="s">
        <v>666</v>
      </c>
    </row>
    <row r="4438" spans="1:4" x14ac:dyDescent="0.25">
      <c r="A4438" s="89" t="s">
        <v>148</v>
      </c>
      <c r="B4438" s="89" t="s">
        <v>615</v>
      </c>
      <c r="C4438" s="89">
        <v>503385.7</v>
      </c>
      <c r="D4438" s="89" t="s">
        <v>663</v>
      </c>
    </row>
    <row r="4439" spans="1:4" x14ac:dyDescent="0.25">
      <c r="A4439" s="89" t="s">
        <v>148</v>
      </c>
      <c r="B4439" s="89" t="s">
        <v>615</v>
      </c>
      <c r="C4439" s="89">
        <v>1068237</v>
      </c>
      <c r="D4439" s="89" t="s">
        <v>666</v>
      </c>
    </row>
    <row r="4440" spans="1:4" x14ac:dyDescent="0.25">
      <c r="A4440" s="89" t="s">
        <v>148</v>
      </c>
      <c r="B4440" s="89" t="s">
        <v>615</v>
      </c>
      <c r="C4440" s="89">
        <v>1309720</v>
      </c>
      <c r="D4440" s="89" t="s">
        <v>663</v>
      </c>
    </row>
    <row r="4441" spans="1:4" x14ac:dyDescent="0.25">
      <c r="A4441" s="89" t="s">
        <v>148</v>
      </c>
      <c r="B4441" s="89" t="s">
        <v>615</v>
      </c>
      <c r="C4441" s="89">
        <v>1714350.09</v>
      </c>
      <c r="D4441" s="89" t="s">
        <v>666</v>
      </c>
    </row>
    <row r="4442" spans="1:4" x14ac:dyDescent="0.25">
      <c r="A4442" s="89" t="s">
        <v>148</v>
      </c>
      <c r="B4442" s="89" t="s">
        <v>615</v>
      </c>
      <c r="C4442" s="89">
        <v>900000</v>
      </c>
      <c r="D4442" s="89" t="s">
        <v>666</v>
      </c>
    </row>
    <row r="4443" spans="1:4" x14ac:dyDescent="0.25">
      <c r="A4443" s="89" t="s">
        <v>26</v>
      </c>
      <c r="B4443" s="89" t="s">
        <v>616</v>
      </c>
      <c r="C4443" s="89">
        <v>420476</v>
      </c>
      <c r="D4443" s="89" t="s">
        <v>663</v>
      </c>
    </row>
    <row r="4444" spans="1:4" x14ac:dyDescent="0.25">
      <c r="A4444" s="89" t="s">
        <v>26</v>
      </c>
      <c r="B4444" s="89" t="s">
        <v>616</v>
      </c>
      <c r="C4444" s="89">
        <v>6444860</v>
      </c>
      <c r="D4444" s="89" t="s">
        <v>664</v>
      </c>
    </row>
    <row r="4445" spans="1:4" x14ac:dyDescent="0.25">
      <c r="A4445" s="89" t="s">
        <v>26</v>
      </c>
      <c r="B4445" s="89" t="s">
        <v>616</v>
      </c>
      <c r="C4445" s="89">
        <v>1095574.54</v>
      </c>
      <c r="D4445" s="89" t="s">
        <v>666</v>
      </c>
    </row>
    <row r="4446" spans="1:4" x14ac:dyDescent="0.25">
      <c r="A4446" s="89" t="s">
        <v>26</v>
      </c>
      <c r="B4446" s="89" t="s">
        <v>616</v>
      </c>
      <c r="C4446" s="89">
        <v>283411.59999999998</v>
      </c>
      <c r="D4446" s="89" t="s">
        <v>664</v>
      </c>
    </row>
    <row r="4447" spans="1:4" x14ac:dyDescent="0.25">
      <c r="A4447" s="89" t="s">
        <v>26</v>
      </c>
      <c r="B4447" s="89" t="s">
        <v>616</v>
      </c>
      <c r="C4447" s="89">
        <v>123072.23</v>
      </c>
      <c r="D4447" s="89" t="s">
        <v>663</v>
      </c>
    </row>
    <row r="4448" spans="1:4" x14ac:dyDescent="0.25">
      <c r="A4448" s="89" t="s">
        <v>26</v>
      </c>
      <c r="B4448" s="89" t="s">
        <v>616</v>
      </c>
      <c r="C4448" s="89">
        <v>996058</v>
      </c>
      <c r="D4448" s="89" t="s">
        <v>663</v>
      </c>
    </row>
    <row r="4449" spans="1:4" x14ac:dyDescent="0.25">
      <c r="A4449" s="89" t="s">
        <v>26</v>
      </c>
      <c r="B4449" s="89" t="s">
        <v>616</v>
      </c>
      <c r="C4449" s="89">
        <v>962111</v>
      </c>
      <c r="D4449" s="89" t="s">
        <v>664</v>
      </c>
    </row>
    <row r="4450" spans="1:4" x14ac:dyDescent="0.25">
      <c r="A4450" s="89" t="s">
        <v>26</v>
      </c>
      <c r="B4450" s="89" t="s">
        <v>616</v>
      </c>
      <c r="C4450" s="89">
        <v>426048.2</v>
      </c>
      <c r="D4450" s="89" t="s">
        <v>666</v>
      </c>
    </row>
    <row r="4451" spans="1:4" x14ac:dyDescent="0.25">
      <c r="A4451" s="89" t="s">
        <v>26</v>
      </c>
      <c r="B4451" s="89" t="s">
        <v>616</v>
      </c>
      <c r="C4451" s="89">
        <v>1310653.6499999999</v>
      </c>
      <c r="D4451" s="89" t="s">
        <v>664</v>
      </c>
    </row>
    <row r="4452" spans="1:4" x14ac:dyDescent="0.25">
      <c r="A4452" s="89" t="s">
        <v>26</v>
      </c>
      <c r="B4452" s="89" t="s">
        <v>616</v>
      </c>
      <c r="C4452" s="89">
        <v>106719.77</v>
      </c>
      <c r="D4452" s="89" t="s">
        <v>663</v>
      </c>
    </row>
    <row r="4453" spans="1:4" x14ac:dyDescent="0.25">
      <c r="A4453" s="89" t="s">
        <v>26</v>
      </c>
      <c r="B4453" s="89" t="s">
        <v>616</v>
      </c>
      <c r="C4453" s="89">
        <v>105425</v>
      </c>
      <c r="D4453" s="89" t="s">
        <v>663</v>
      </c>
    </row>
    <row r="4454" spans="1:4" x14ac:dyDescent="0.25">
      <c r="A4454" s="89" t="s">
        <v>26</v>
      </c>
      <c r="B4454" s="89" t="s">
        <v>616</v>
      </c>
      <c r="C4454" s="89">
        <v>354464</v>
      </c>
      <c r="D4454" s="89" t="s">
        <v>666</v>
      </c>
    </row>
    <row r="4455" spans="1:4" x14ac:dyDescent="0.25">
      <c r="A4455" s="89" t="s">
        <v>26</v>
      </c>
      <c r="B4455" s="89" t="s">
        <v>616</v>
      </c>
      <c r="C4455" s="89">
        <v>851609</v>
      </c>
      <c r="D4455" s="89" t="s">
        <v>664</v>
      </c>
    </row>
    <row r="4456" spans="1:4" x14ac:dyDescent="0.25">
      <c r="A4456" s="89" t="s">
        <v>26</v>
      </c>
      <c r="B4456" s="89" t="s">
        <v>616</v>
      </c>
      <c r="C4456" s="89">
        <v>1177337</v>
      </c>
      <c r="D4456" s="89" t="s">
        <v>664</v>
      </c>
    </row>
    <row r="4457" spans="1:4" x14ac:dyDescent="0.25">
      <c r="A4457" s="89" t="s">
        <v>26</v>
      </c>
      <c r="B4457" s="89" t="s">
        <v>616</v>
      </c>
      <c r="C4457" s="89">
        <v>1026022</v>
      </c>
      <c r="D4457" s="89" t="s">
        <v>666</v>
      </c>
    </row>
    <row r="4458" spans="1:4" x14ac:dyDescent="0.25">
      <c r="A4458" s="89" t="s">
        <v>26</v>
      </c>
      <c r="B4458" s="89" t="s">
        <v>616</v>
      </c>
      <c r="C4458" s="89">
        <v>448563</v>
      </c>
      <c r="D4458" s="89" t="s">
        <v>666</v>
      </c>
    </row>
    <row r="4459" spans="1:4" x14ac:dyDescent="0.25">
      <c r="A4459" s="89" t="s">
        <v>26</v>
      </c>
      <c r="B4459" s="89" t="s">
        <v>616</v>
      </c>
      <c r="C4459" s="89">
        <v>239072</v>
      </c>
      <c r="D4459" s="89" t="s">
        <v>663</v>
      </c>
    </row>
    <row r="4460" spans="1:4" x14ac:dyDescent="0.25">
      <c r="A4460" s="89" t="s">
        <v>26</v>
      </c>
      <c r="B4460" s="89" t="s">
        <v>616</v>
      </c>
      <c r="C4460" s="89">
        <v>491804</v>
      </c>
      <c r="D4460" s="89" t="s">
        <v>664</v>
      </c>
    </row>
    <row r="4461" spans="1:4" x14ac:dyDescent="0.25">
      <c r="A4461" s="89" t="s">
        <v>26</v>
      </c>
      <c r="B4461" s="89" t="s">
        <v>616</v>
      </c>
      <c r="C4461" s="89">
        <v>423671.26</v>
      </c>
      <c r="D4461" s="89" t="s">
        <v>664</v>
      </c>
    </row>
    <row r="4462" spans="1:4" x14ac:dyDescent="0.25">
      <c r="A4462" s="89" t="s">
        <v>26</v>
      </c>
      <c r="B4462" s="89" t="s">
        <v>616</v>
      </c>
      <c r="C4462" s="89">
        <v>982707.78</v>
      </c>
      <c r="D4462" s="89" t="s">
        <v>666</v>
      </c>
    </row>
    <row r="4463" spans="1:4" x14ac:dyDescent="0.25">
      <c r="A4463" s="89" t="s">
        <v>26</v>
      </c>
      <c r="B4463" s="89" t="s">
        <v>616</v>
      </c>
      <c r="C4463" s="89">
        <v>287251</v>
      </c>
      <c r="D4463" s="89" t="s">
        <v>663</v>
      </c>
    </row>
    <row r="4464" spans="1:4" x14ac:dyDescent="0.25">
      <c r="A4464" s="89" t="s">
        <v>26</v>
      </c>
      <c r="B4464" s="89" t="s">
        <v>616</v>
      </c>
      <c r="C4464" s="89">
        <v>1079874.02</v>
      </c>
      <c r="D4464" s="89" t="s">
        <v>663</v>
      </c>
    </row>
    <row r="4465" spans="1:4" x14ac:dyDescent="0.25">
      <c r="A4465" s="89" t="s">
        <v>26</v>
      </c>
      <c r="B4465" s="89" t="s">
        <v>616</v>
      </c>
      <c r="C4465" s="89">
        <v>4592534.5999999996</v>
      </c>
      <c r="D4465" s="89" t="s">
        <v>666</v>
      </c>
    </row>
    <row r="4466" spans="1:4" x14ac:dyDescent="0.25">
      <c r="A4466" s="89" t="s">
        <v>26</v>
      </c>
      <c r="B4466" s="89" t="s">
        <v>616</v>
      </c>
      <c r="C4466" s="89">
        <v>881246.71</v>
      </c>
      <c r="D4466" s="89" t="s">
        <v>663</v>
      </c>
    </row>
    <row r="4467" spans="1:4" x14ac:dyDescent="0.25">
      <c r="A4467" s="89" t="s">
        <v>26</v>
      </c>
      <c r="B4467" s="89" t="s">
        <v>616</v>
      </c>
      <c r="C4467" s="89">
        <v>246384.71</v>
      </c>
      <c r="D4467" s="89" t="s">
        <v>663</v>
      </c>
    </row>
    <row r="4468" spans="1:4" x14ac:dyDescent="0.25">
      <c r="A4468" s="89" t="s">
        <v>26</v>
      </c>
      <c r="B4468" s="89" t="s">
        <v>616</v>
      </c>
      <c r="C4468" s="89">
        <v>883757.27</v>
      </c>
      <c r="D4468" s="89" t="s">
        <v>666</v>
      </c>
    </row>
    <row r="4469" spans="1:4" x14ac:dyDescent="0.25">
      <c r="A4469" s="89" t="s">
        <v>26</v>
      </c>
      <c r="B4469" s="89" t="s">
        <v>616</v>
      </c>
      <c r="C4469" s="89">
        <v>3244124.03</v>
      </c>
      <c r="D4469" s="89" t="s">
        <v>664</v>
      </c>
    </row>
    <row r="4470" spans="1:4" x14ac:dyDescent="0.25">
      <c r="A4470" s="89" t="s">
        <v>26</v>
      </c>
      <c r="B4470" s="89" t="s">
        <v>616</v>
      </c>
      <c r="C4470" s="89">
        <v>-3136804.54</v>
      </c>
      <c r="D4470" s="89" t="s">
        <v>666</v>
      </c>
    </row>
    <row r="4471" spans="1:4" x14ac:dyDescent="0.25">
      <c r="A4471" s="89" t="s">
        <v>26</v>
      </c>
      <c r="B4471" s="89" t="s">
        <v>616</v>
      </c>
      <c r="C4471" s="89">
        <v>1557480.88</v>
      </c>
      <c r="D4471" s="89" t="s">
        <v>663</v>
      </c>
    </row>
    <row r="4472" spans="1:4" x14ac:dyDescent="0.25">
      <c r="A4472" s="89" t="s">
        <v>26</v>
      </c>
      <c r="B4472" s="89" t="s">
        <v>616</v>
      </c>
      <c r="C4472" s="89">
        <v>1007991.05</v>
      </c>
      <c r="D4472" s="89" t="s">
        <v>663</v>
      </c>
    </row>
    <row r="4473" spans="1:4" x14ac:dyDescent="0.25">
      <c r="A4473" s="89" t="s">
        <v>26</v>
      </c>
      <c r="B4473" s="89" t="s">
        <v>616</v>
      </c>
      <c r="C4473" s="89">
        <v>277592.44</v>
      </c>
      <c r="D4473" s="89" t="s">
        <v>663</v>
      </c>
    </row>
    <row r="4474" spans="1:4" x14ac:dyDescent="0.25">
      <c r="A4474" s="89" t="s">
        <v>26</v>
      </c>
      <c r="B4474" s="89" t="s">
        <v>616</v>
      </c>
      <c r="C4474" s="89">
        <v>167655.47</v>
      </c>
      <c r="D4474" s="89" t="s">
        <v>664</v>
      </c>
    </row>
    <row r="4475" spans="1:4" x14ac:dyDescent="0.25">
      <c r="A4475" s="89" t="s">
        <v>26</v>
      </c>
      <c r="B4475" s="89" t="s">
        <v>616</v>
      </c>
      <c r="C4475" s="89">
        <v>1905260</v>
      </c>
      <c r="D4475" s="89" t="s">
        <v>663</v>
      </c>
    </row>
    <row r="4476" spans="1:4" x14ac:dyDescent="0.25">
      <c r="A4476" s="89" t="s">
        <v>26</v>
      </c>
      <c r="B4476" s="89" t="s">
        <v>616</v>
      </c>
      <c r="C4476" s="89">
        <v>-5978.72</v>
      </c>
      <c r="D4476" s="89" t="s">
        <v>664</v>
      </c>
    </row>
    <row r="4477" spans="1:4" x14ac:dyDescent="0.25">
      <c r="A4477" s="89" t="s">
        <v>26</v>
      </c>
      <c r="B4477" s="89" t="s">
        <v>616</v>
      </c>
      <c r="C4477" s="89">
        <v>-111765.73</v>
      </c>
      <c r="D4477" s="89" t="s">
        <v>666</v>
      </c>
    </row>
    <row r="4478" spans="1:4" x14ac:dyDescent="0.25">
      <c r="A4478" s="89" t="s">
        <v>26</v>
      </c>
      <c r="B4478" s="89" t="s">
        <v>616</v>
      </c>
      <c r="C4478" s="89">
        <v>-4298.3999999999996</v>
      </c>
      <c r="D4478" s="89" t="s">
        <v>663</v>
      </c>
    </row>
    <row r="4479" spans="1:4" x14ac:dyDescent="0.25">
      <c r="A4479" s="89" t="s">
        <v>26</v>
      </c>
      <c r="B4479" s="89" t="s">
        <v>616</v>
      </c>
      <c r="C4479" s="89">
        <v>19251643</v>
      </c>
      <c r="D4479" s="89" t="s">
        <v>664</v>
      </c>
    </row>
    <row r="4480" spans="1:4" x14ac:dyDescent="0.25">
      <c r="A4480" s="89" t="s">
        <v>26</v>
      </c>
      <c r="B4480" s="89" t="s">
        <v>616</v>
      </c>
      <c r="C4480" s="89">
        <v>-14836.72</v>
      </c>
      <c r="D4480" s="89" t="s">
        <v>663</v>
      </c>
    </row>
    <row r="4481" spans="1:4" x14ac:dyDescent="0.25">
      <c r="A4481" s="89" t="s">
        <v>26</v>
      </c>
      <c r="B4481" s="89" t="s">
        <v>616</v>
      </c>
      <c r="C4481" s="89">
        <v>-79154.929999999993</v>
      </c>
      <c r="D4481" s="89" t="s">
        <v>666</v>
      </c>
    </row>
    <row r="4482" spans="1:4" x14ac:dyDescent="0.25">
      <c r="A4482" s="89" t="s">
        <v>26</v>
      </c>
      <c r="B4482" s="89" t="s">
        <v>616</v>
      </c>
      <c r="C4482" s="89">
        <v>296962.05</v>
      </c>
      <c r="D4482" s="89" t="s">
        <v>666</v>
      </c>
    </row>
    <row r="4483" spans="1:4" x14ac:dyDescent="0.25">
      <c r="A4483" s="89" t="s">
        <v>26</v>
      </c>
      <c r="B4483" s="89" t="s">
        <v>616</v>
      </c>
      <c r="C4483" s="89">
        <v>5331886.33</v>
      </c>
      <c r="D4483" s="89" t="s">
        <v>666</v>
      </c>
    </row>
    <row r="4484" spans="1:4" x14ac:dyDescent="0.25">
      <c r="A4484" s="89" t="s">
        <v>26</v>
      </c>
      <c r="B4484" s="89" t="s">
        <v>616</v>
      </c>
      <c r="C4484" s="89">
        <v>72983.73</v>
      </c>
      <c r="D4484" s="89" t="s">
        <v>663</v>
      </c>
    </row>
    <row r="4485" spans="1:4" x14ac:dyDescent="0.25">
      <c r="A4485" s="89" t="s">
        <v>26</v>
      </c>
      <c r="B4485" s="89" t="s">
        <v>616</v>
      </c>
      <c r="C4485" s="89">
        <v>4262654.03</v>
      </c>
      <c r="D4485" s="89" t="s">
        <v>664</v>
      </c>
    </row>
    <row r="4486" spans="1:4" x14ac:dyDescent="0.25">
      <c r="A4486" s="89" t="s">
        <v>26</v>
      </c>
      <c r="B4486" s="89" t="s">
        <v>616</v>
      </c>
      <c r="C4486" s="89">
        <v>720340.3</v>
      </c>
      <c r="D4486" s="89" t="s">
        <v>663</v>
      </c>
    </row>
    <row r="4487" spans="1:4" x14ac:dyDescent="0.25">
      <c r="A4487" s="89" t="s">
        <v>26</v>
      </c>
      <c r="B4487" s="89" t="s">
        <v>616</v>
      </c>
      <c r="C4487" s="89">
        <v>10078029.91</v>
      </c>
      <c r="D4487" s="89" t="s">
        <v>664</v>
      </c>
    </row>
    <row r="4488" spans="1:4" x14ac:dyDescent="0.25">
      <c r="A4488" s="89" t="s">
        <v>26</v>
      </c>
      <c r="B4488" s="89" t="s">
        <v>616</v>
      </c>
      <c r="C4488" s="89">
        <v>1158506.03</v>
      </c>
      <c r="D4488" s="89" t="s">
        <v>664</v>
      </c>
    </row>
    <row r="4489" spans="1:4" x14ac:dyDescent="0.25">
      <c r="A4489" s="89" t="s">
        <v>26</v>
      </c>
      <c r="B4489" s="89" t="s">
        <v>616</v>
      </c>
      <c r="C4489" s="89">
        <v>11367654.689999999</v>
      </c>
      <c r="D4489" s="89" t="s">
        <v>666</v>
      </c>
    </row>
    <row r="4490" spans="1:4" x14ac:dyDescent="0.25">
      <c r="A4490" s="89" t="s">
        <v>26</v>
      </c>
      <c r="B4490" s="89" t="s">
        <v>616</v>
      </c>
      <c r="C4490" s="89">
        <v>4563148.0999999996</v>
      </c>
      <c r="D4490" s="89" t="s">
        <v>664</v>
      </c>
    </row>
    <row r="4491" spans="1:4" x14ac:dyDescent="0.25">
      <c r="A4491" s="89" t="s">
        <v>26</v>
      </c>
      <c r="B4491" s="89" t="s">
        <v>616</v>
      </c>
      <c r="C4491" s="89">
        <v>905330</v>
      </c>
      <c r="D4491" s="89" t="s">
        <v>664</v>
      </c>
    </row>
    <row r="4492" spans="1:4" x14ac:dyDescent="0.25">
      <c r="A4492" s="89" t="s">
        <v>26</v>
      </c>
      <c r="B4492" s="89" t="s">
        <v>616</v>
      </c>
      <c r="C4492" s="89">
        <v>16036997.91</v>
      </c>
      <c r="D4492" s="89" t="s">
        <v>666</v>
      </c>
    </row>
    <row r="4493" spans="1:4" x14ac:dyDescent="0.25">
      <c r="A4493" s="89" t="s">
        <v>26</v>
      </c>
      <c r="B4493" s="89" t="s">
        <v>616</v>
      </c>
      <c r="C4493" s="89">
        <v>150000</v>
      </c>
      <c r="D4493" s="89" t="s">
        <v>666</v>
      </c>
    </row>
    <row r="4494" spans="1:4" x14ac:dyDescent="0.25">
      <c r="A4494" s="89" t="s">
        <v>26</v>
      </c>
      <c r="B4494" s="89" t="s">
        <v>616</v>
      </c>
      <c r="C4494" s="89">
        <v>1225791.1599999999</v>
      </c>
      <c r="D4494" s="89" t="s">
        <v>663</v>
      </c>
    </row>
    <row r="4495" spans="1:4" x14ac:dyDescent="0.25">
      <c r="A4495" s="89" t="s">
        <v>26</v>
      </c>
      <c r="B4495" s="89" t="s">
        <v>616</v>
      </c>
      <c r="C4495" s="89">
        <v>-39278.11</v>
      </c>
      <c r="D4495" s="89" t="s">
        <v>664</v>
      </c>
    </row>
    <row r="4496" spans="1:4" x14ac:dyDescent="0.25">
      <c r="A4496" s="89" t="s">
        <v>26</v>
      </c>
      <c r="B4496" s="89" t="s">
        <v>616</v>
      </c>
      <c r="C4496" s="89">
        <v>1115843</v>
      </c>
      <c r="D4496" s="89" t="s">
        <v>664</v>
      </c>
    </row>
    <row r="4497" spans="1:4" x14ac:dyDescent="0.25">
      <c r="A4497" s="89" t="s">
        <v>26</v>
      </c>
      <c r="B4497" s="89" t="s">
        <v>616</v>
      </c>
      <c r="C4497" s="89">
        <v>1537758</v>
      </c>
      <c r="D4497" s="89" t="s">
        <v>666</v>
      </c>
    </row>
    <row r="4498" spans="1:4" x14ac:dyDescent="0.25">
      <c r="A4498" s="89" t="s">
        <v>26</v>
      </c>
      <c r="B4498" s="89" t="s">
        <v>616</v>
      </c>
      <c r="C4498" s="89">
        <v>1402744</v>
      </c>
      <c r="D4498" s="89" t="s">
        <v>664</v>
      </c>
    </row>
    <row r="4499" spans="1:4" x14ac:dyDescent="0.25">
      <c r="A4499" s="89" t="s">
        <v>26</v>
      </c>
      <c r="B4499" s="89" t="s">
        <v>616</v>
      </c>
      <c r="C4499" s="89">
        <v>379485.37</v>
      </c>
      <c r="D4499" s="89" t="s">
        <v>663</v>
      </c>
    </row>
    <row r="4500" spans="1:4" x14ac:dyDescent="0.25">
      <c r="A4500" s="89" t="s">
        <v>26</v>
      </c>
      <c r="B4500" s="89" t="s">
        <v>616</v>
      </c>
      <c r="C4500" s="89">
        <v>1776378.56</v>
      </c>
      <c r="D4500" s="89" t="s">
        <v>666</v>
      </c>
    </row>
    <row r="4501" spans="1:4" x14ac:dyDescent="0.25">
      <c r="A4501" s="89" t="s">
        <v>26</v>
      </c>
      <c r="B4501" s="89" t="s">
        <v>616</v>
      </c>
      <c r="C4501" s="89">
        <v>847159.03</v>
      </c>
      <c r="D4501" s="89" t="s">
        <v>664</v>
      </c>
    </row>
    <row r="4502" spans="1:4" x14ac:dyDescent="0.25">
      <c r="A4502" s="89" t="s">
        <v>26</v>
      </c>
      <c r="B4502" s="89" t="s">
        <v>616</v>
      </c>
      <c r="C4502" s="89">
        <v>441396</v>
      </c>
      <c r="D4502" s="89" t="s">
        <v>666</v>
      </c>
    </row>
    <row r="4503" spans="1:4" x14ac:dyDescent="0.25">
      <c r="A4503" s="89" t="s">
        <v>26</v>
      </c>
      <c r="B4503" s="89" t="s">
        <v>616</v>
      </c>
      <c r="C4503" s="89">
        <v>1506042</v>
      </c>
      <c r="D4503" s="89" t="s">
        <v>663</v>
      </c>
    </row>
    <row r="4504" spans="1:4" x14ac:dyDescent="0.25">
      <c r="A4504" s="89" t="s">
        <v>26</v>
      </c>
      <c r="B4504" s="89" t="s">
        <v>616</v>
      </c>
      <c r="C4504" s="89">
        <v>1089582</v>
      </c>
      <c r="D4504" s="89" t="s">
        <v>664</v>
      </c>
    </row>
    <row r="4505" spans="1:4" x14ac:dyDescent="0.25">
      <c r="A4505" s="89" t="s">
        <v>26</v>
      </c>
      <c r="B4505" s="89" t="s">
        <v>616</v>
      </c>
      <c r="C4505" s="89">
        <v>272540</v>
      </c>
      <c r="D4505" s="89" t="s">
        <v>666</v>
      </c>
    </row>
    <row r="4506" spans="1:4" x14ac:dyDescent="0.25">
      <c r="A4506" s="89" t="s">
        <v>26</v>
      </c>
      <c r="B4506" s="89" t="s">
        <v>616</v>
      </c>
      <c r="C4506" s="89">
        <v>891502</v>
      </c>
      <c r="D4506" s="89" t="s">
        <v>666</v>
      </c>
    </row>
    <row r="4507" spans="1:4" x14ac:dyDescent="0.25">
      <c r="A4507" s="89" t="s">
        <v>26</v>
      </c>
      <c r="B4507" s="89" t="s">
        <v>616</v>
      </c>
      <c r="C4507" s="89">
        <v>1115843</v>
      </c>
      <c r="D4507" s="89" t="s">
        <v>664</v>
      </c>
    </row>
    <row r="4508" spans="1:4" x14ac:dyDescent="0.25">
      <c r="A4508" s="89" t="s">
        <v>26</v>
      </c>
      <c r="B4508" s="89" t="s">
        <v>616</v>
      </c>
      <c r="C4508" s="89">
        <v>2539915</v>
      </c>
      <c r="D4508" s="89" t="s">
        <v>663</v>
      </c>
    </row>
    <row r="4509" spans="1:4" x14ac:dyDescent="0.25">
      <c r="A4509" s="89" t="s">
        <v>26</v>
      </c>
      <c r="B4509" s="89" t="s">
        <v>616</v>
      </c>
      <c r="C4509" s="89">
        <v>513576.64</v>
      </c>
      <c r="D4509" s="89" t="s">
        <v>663</v>
      </c>
    </row>
    <row r="4510" spans="1:4" x14ac:dyDescent="0.25">
      <c r="A4510" s="89" t="s">
        <v>26</v>
      </c>
      <c r="B4510" s="89" t="s">
        <v>616</v>
      </c>
      <c r="C4510" s="89">
        <v>1058537.55</v>
      </c>
      <c r="D4510" s="89" t="s">
        <v>663</v>
      </c>
    </row>
    <row r="4511" spans="1:4" x14ac:dyDescent="0.25">
      <c r="A4511" s="89" t="s">
        <v>26</v>
      </c>
      <c r="B4511" s="89" t="s">
        <v>616</v>
      </c>
      <c r="C4511" s="89">
        <v>1047571.59</v>
      </c>
      <c r="D4511" s="89" t="s">
        <v>664</v>
      </c>
    </row>
    <row r="4512" spans="1:4" x14ac:dyDescent="0.25">
      <c r="A4512" s="89" t="s">
        <v>26</v>
      </c>
      <c r="B4512" s="89" t="s">
        <v>616</v>
      </c>
      <c r="C4512" s="89">
        <v>2383921.7599999998</v>
      </c>
      <c r="D4512" s="89" t="s">
        <v>663</v>
      </c>
    </row>
    <row r="4513" spans="1:4" x14ac:dyDescent="0.25">
      <c r="A4513" s="89" t="s">
        <v>26</v>
      </c>
      <c r="B4513" s="89" t="s">
        <v>616</v>
      </c>
      <c r="C4513" s="89">
        <v>1621606.85</v>
      </c>
      <c r="D4513" s="89" t="s">
        <v>666</v>
      </c>
    </row>
    <row r="4514" spans="1:4" x14ac:dyDescent="0.25">
      <c r="A4514" s="89" t="s">
        <v>26</v>
      </c>
      <c r="B4514" s="89" t="s">
        <v>616</v>
      </c>
      <c r="C4514" s="89">
        <v>544800.99</v>
      </c>
      <c r="D4514" s="89" t="s">
        <v>664</v>
      </c>
    </row>
    <row r="4515" spans="1:4" x14ac:dyDescent="0.25">
      <c r="A4515" s="89" t="s">
        <v>26</v>
      </c>
      <c r="B4515" s="89" t="s">
        <v>616</v>
      </c>
      <c r="C4515" s="89">
        <v>211274.93</v>
      </c>
      <c r="D4515" s="89" t="s">
        <v>663</v>
      </c>
    </row>
    <row r="4516" spans="1:4" x14ac:dyDescent="0.25">
      <c r="A4516" s="89" t="s">
        <v>26</v>
      </c>
      <c r="B4516" s="89" t="s">
        <v>616</v>
      </c>
      <c r="C4516" s="89">
        <v>839523.34</v>
      </c>
      <c r="D4516" s="89" t="s">
        <v>663</v>
      </c>
    </row>
    <row r="4517" spans="1:4" x14ac:dyDescent="0.25">
      <c r="A4517" s="89" t="s">
        <v>26</v>
      </c>
      <c r="B4517" s="89" t="s">
        <v>616</v>
      </c>
      <c r="C4517" s="89">
        <v>211587.7</v>
      </c>
      <c r="D4517" s="89" t="s">
        <v>664</v>
      </c>
    </row>
    <row r="4518" spans="1:4" x14ac:dyDescent="0.25">
      <c r="A4518" s="89" t="s">
        <v>26</v>
      </c>
      <c r="B4518" s="89" t="s">
        <v>616</v>
      </c>
      <c r="C4518" s="89">
        <v>5141746.24</v>
      </c>
      <c r="D4518" s="89" t="s">
        <v>666</v>
      </c>
    </row>
    <row r="4519" spans="1:4" x14ac:dyDescent="0.25">
      <c r="A4519" s="89" t="s">
        <v>26</v>
      </c>
      <c r="B4519" s="89" t="s">
        <v>616</v>
      </c>
      <c r="C4519" s="89">
        <v>1004390.6</v>
      </c>
      <c r="D4519" s="89" t="s">
        <v>666</v>
      </c>
    </row>
    <row r="4520" spans="1:4" x14ac:dyDescent="0.25">
      <c r="A4520" s="89" t="s">
        <v>26</v>
      </c>
      <c r="B4520" s="89" t="s">
        <v>616</v>
      </c>
      <c r="C4520" s="89">
        <v>-3426754.07</v>
      </c>
      <c r="D4520" s="89" t="s">
        <v>664</v>
      </c>
    </row>
    <row r="4521" spans="1:4" x14ac:dyDescent="0.25">
      <c r="A4521" s="89" t="s">
        <v>26</v>
      </c>
      <c r="B4521" s="89" t="s">
        <v>616</v>
      </c>
      <c r="C4521" s="89">
        <v>-7015033.6699999999</v>
      </c>
      <c r="D4521" s="89" t="s">
        <v>666</v>
      </c>
    </row>
    <row r="4522" spans="1:4" x14ac:dyDescent="0.25">
      <c r="A4522" s="89" t="s">
        <v>26</v>
      </c>
      <c r="B4522" s="89" t="s">
        <v>616</v>
      </c>
      <c r="C4522" s="89">
        <v>-7661.2</v>
      </c>
      <c r="D4522" s="89" t="s">
        <v>663</v>
      </c>
    </row>
    <row r="4523" spans="1:4" x14ac:dyDescent="0.25">
      <c r="A4523" s="89" t="s">
        <v>26</v>
      </c>
      <c r="B4523" s="89" t="s">
        <v>616</v>
      </c>
      <c r="C4523" s="89">
        <v>-274964.86</v>
      </c>
      <c r="D4523" s="89" t="s">
        <v>663</v>
      </c>
    </row>
    <row r="4524" spans="1:4" x14ac:dyDescent="0.25">
      <c r="A4524" s="89" t="s">
        <v>26</v>
      </c>
      <c r="B4524" s="89" t="s">
        <v>616</v>
      </c>
      <c r="C4524" s="89">
        <v>-991298.93</v>
      </c>
      <c r="D4524" s="89" t="s">
        <v>664</v>
      </c>
    </row>
    <row r="4525" spans="1:4" x14ac:dyDescent="0.25">
      <c r="A4525" s="89" t="s">
        <v>26</v>
      </c>
      <c r="B4525" s="89" t="s">
        <v>616</v>
      </c>
      <c r="C4525" s="89">
        <v>20548484.399999999</v>
      </c>
      <c r="D4525" s="89" t="s">
        <v>666</v>
      </c>
    </row>
    <row r="4526" spans="1:4" x14ac:dyDescent="0.25">
      <c r="A4526" s="89" t="s">
        <v>26</v>
      </c>
      <c r="B4526" s="89" t="s">
        <v>616</v>
      </c>
      <c r="C4526" s="89">
        <v>868851.36</v>
      </c>
      <c r="D4526" s="89" t="s">
        <v>663</v>
      </c>
    </row>
    <row r="4527" spans="1:4" x14ac:dyDescent="0.25">
      <c r="A4527" s="89" t="s">
        <v>26</v>
      </c>
      <c r="B4527" s="89" t="s">
        <v>616</v>
      </c>
      <c r="C4527" s="89">
        <v>17177810.309999999</v>
      </c>
      <c r="D4527" s="89" t="s">
        <v>666</v>
      </c>
    </row>
    <row r="4528" spans="1:4" x14ac:dyDescent="0.25">
      <c r="A4528" s="89" t="s">
        <v>26</v>
      </c>
      <c r="B4528" s="89" t="s">
        <v>616</v>
      </c>
      <c r="C4528" s="89">
        <v>2015125.52</v>
      </c>
      <c r="D4528" s="89" t="s">
        <v>664</v>
      </c>
    </row>
    <row r="4529" spans="1:4" x14ac:dyDescent="0.25">
      <c r="A4529" s="89" t="s">
        <v>26</v>
      </c>
      <c r="B4529" s="89" t="s">
        <v>616</v>
      </c>
      <c r="C4529" s="89">
        <v>172263.41</v>
      </c>
      <c r="D4529" s="89" t="s">
        <v>663</v>
      </c>
    </row>
    <row r="4530" spans="1:4" x14ac:dyDescent="0.25">
      <c r="A4530" s="89" t="s">
        <v>26</v>
      </c>
      <c r="B4530" s="89" t="s">
        <v>616</v>
      </c>
      <c r="C4530" s="89">
        <v>-1780597.43</v>
      </c>
      <c r="D4530" s="89" t="s">
        <v>666</v>
      </c>
    </row>
    <row r="4531" spans="1:4" x14ac:dyDescent="0.25">
      <c r="A4531" s="89" t="s">
        <v>26</v>
      </c>
      <c r="B4531" s="89" t="s">
        <v>616</v>
      </c>
      <c r="C4531" s="89">
        <v>35718</v>
      </c>
      <c r="D4531" s="89" t="s">
        <v>666</v>
      </c>
    </row>
    <row r="4532" spans="1:4" x14ac:dyDescent="0.25">
      <c r="A4532" s="89" t="s">
        <v>26</v>
      </c>
      <c r="B4532" s="89" t="s">
        <v>616</v>
      </c>
      <c r="C4532" s="89">
        <v>4034047.61</v>
      </c>
      <c r="D4532" s="89" t="s">
        <v>664</v>
      </c>
    </row>
    <row r="4533" spans="1:4" x14ac:dyDescent="0.25">
      <c r="A4533" s="89" t="s">
        <v>142</v>
      </c>
      <c r="B4533" s="89" t="s">
        <v>615</v>
      </c>
      <c r="C4533" s="89">
        <v>2787123</v>
      </c>
      <c r="D4533" s="89" t="s">
        <v>663</v>
      </c>
    </row>
    <row r="4534" spans="1:4" x14ac:dyDescent="0.25">
      <c r="A4534" s="89" t="s">
        <v>142</v>
      </c>
      <c r="B4534" s="89" t="s">
        <v>615</v>
      </c>
      <c r="C4534" s="89">
        <v>3151385</v>
      </c>
      <c r="D4534" s="89" t="s">
        <v>663</v>
      </c>
    </row>
    <row r="4535" spans="1:4" x14ac:dyDescent="0.25">
      <c r="A4535" s="89" t="s">
        <v>142</v>
      </c>
      <c r="B4535" s="89" t="s">
        <v>615</v>
      </c>
      <c r="C4535" s="89">
        <v>1722183</v>
      </c>
      <c r="D4535" s="89" t="s">
        <v>666</v>
      </c>
    </row>
    <row r="4536" spans="1:4" x14ac:dyDescent="0.25">
      <c r="A4536" s="89" t="s">
        <v>142</v>
      </c>
      <c r="B4536" s="89" t="s">
        <v>615</v>
      </c>
      <c r="C4536" s="89">
        <v>5722427</v>
      </c>
      <c r="D4536" s="89" t="s">
        <v>663</v>
      </c>
    </row>
    <row r="4537" spans="1:4" x14ac:dyDescent="0.25">
      <c r="A4537" s="89" t="s">
        <v>142</v>
      </c>
      <c r="B4537" s="89" t="s">
        <v>615</v>
      </c>
      <c r="C4537" s="89">
        <v>1341732</v>
      </c>
      <c r="D4537" s="89" t="s">
        <v>663</v>
      </c>
    </row>
    <row r="4538" spans="1:4" x14ac:dyDescent="0.25">
      <c r="A4538" s="89" t="s">
        <v>142</v>
      </c>
      <c r="B4538" s="89" t="s">
        <v>615</v>
      </c>
      <c r="C4538" s="89">
        <v>2134544</v>
      </c>
      <c r="D4538" s="89" t="s">
        <v>663</v>
      </c>
    </row>
    <row r="4539" spans="1:4" x14ac:dyDescent="0.25">
      <c r="A4539" s="89" t="s">
        <v>142</v>
      </c>
      <c r="B4539" s="89" t="s">
        <v>615</v>
      </c>
      <c r="C4539" s="89">
        <v>683900</v>
      </c>
      <c r="D4539" s="89" t="s">
        <v>666</v>
      </c>
    </row>
    <row r="4540" spans="1:4" x14ac:dyDescent="0.25">
      <c r="A4540" s="89" t="s">
        <v>142</v>
      </c>
      <c r="B4540" s="89" t="s">
        <v>615</v>
      </c>
      <c r="C4540" s="89">
        <v>1561276</v>
      </c>
      <c r="D4540" s="89" t="s">
        <v>663</v>
      </c>
    </row>
    <row r="4541" spans="1:4" x14ac:dyDescent="0.25">
      <c r="A4541" s="89" t="s">
        <v>142</v>
      </c>
      <c r="B4541" s="89" t="s">
        <v>615</v>
      </c>
      <c r="C4541" s="89">
        <v>6942030</v>
      </c>
      <c r="D4541" s="89" t="s">
        <v>666</v>
      </c>
    </row>
    <row r="4542" spans="1:4" x14ac:dyDescent="0.25">
      <c r="A4542" s="89" t="s">
        <v>142</v>
      </c>
      <c r="B4542" s="89" t="s">
        <v>615</v>
      </c>
      <c r="C4542" s="89">
        <v>2078238</v>
      </c>
      <c r="D4542" s="89" t="s">
        <v>663</v>
      </c>
    </row>
    <row r="4543" spans="1:4" x14ac:dyDescent="0.25">
      <c r="A4543" s="89" t="s">
        <v>142</v>
      </c>
      <c r="B4543" s="89" t="s">
        <v>615</v>
      </c>
      <c r="C4543" s="89">
        <v>1056475</v>
      </c>
      <c r="D4543" s="89" t="s">
        <v>666</v>
      </c>
    </row>
    <row r="4544" spans="1:4" x14ac:dyDescent="0.25">
      <c r="A4544" s="89" t="s">
        <v>142</v>
      </c>
      <c r="B4544" s="89" t="s">
        <v>615</v>
      </c>
      <c r="C4544" s="89">
        <v>778608</v>
      </c>
      <c r="D4544" s="89" t="s">
        <v>666</v>
      </c>
    </row>
    <row r="4545" spans="1:4" x14ac:dyDescent="0.25">
      <c r="A4545" s="89" t="s">
        <v>142</v>
      </c>
      <c r="B4545" s="89" t="s">
        <v>615</v>
      </c>
      <c r="C4545" s="89">
        <v>960323</v>
      </c>
      <c r="D4545" s="89" t="s">
        <v>663</v>
      </c>
    </row>
    <row r="4546" spans="1:4" x14ac:dyDescent="0.25">
      <c r="A4546" s="89" t="s">
        <v>142</v>
      </c>
      <c r="B4546" s="89" t="s">
        <v>615</v>
      </c>
      <c r="C4546" s="89">
        <v>991276</v>
      </c>
      <c r="D4546" s="89" t="s">
        <v>666</v>
      </c>
    </row>
    <row r="4547" spans="1:4" x14ac:dyDescent="0.25">
      <c r="A4547" s="89" t="s">
        <v>142</v>
      </c>
      <c r="B4547" s="89" t="s">
        <v>615</v>
      </c>
      <c r="C4547" s="89">
        <v>1465356</v>
      </c>
      <c r="D4547" s="89" t="s">
        <v>663</v>
      </c>
    </row>
    <row r="4548" spans="1:4" x14ac:dyDescent="0.25">
      <c r="A4548" s="89" t="s">
        <v>142</v>
      </c>
      <c r="B4548" s="89" t="s">
        <v>615</v>
      </c>
      <c r="C4548" s="89">
        <v>50000</v>
      </c>
      <c r="D4548" s="89" t="s">
        <v>666</v>
      </c>
    </row>
    <row r="4549" spans="1:4" x14ac:dyDescent="0.25">
      <c r="A4549" s="89" t="s">
        <v>142</v>
      </c>
      <c r="B4549" s="89" t="s">
        <v>615</v>
      </c>
      <c r="C4549" s="89">
        <v>1486074.54</v>
      </c>
      <c r="D4549" s="89" t="s">
        <v>663</v>
      </c>
    </row>
    <row r="4550" spans="1:4" x14ac:dyDescent="0.25">
      <c r="A4550" s="89" t="s">
        <v>142</v>
      </c>
      <c r="B4550" s="89" t="s">
        <v>615</v>
      </c>
      <c r="C4550" s="89">
        <v>1420201.28</v>
      </c>
      <c r="D4550" s="89" t="s">
        <v>663</v>
      </c>
    </row>
    <row r="4551" spans="1:4" x14ac:dyDescent="0.25">
      <c r="A4551" s="89" t="s">
        <v>142</v>
      </c>
      <c r="B4551" s="89" t="s">
        <v>615</v>
      </c>
      <c r="C4551" s="89">
        <v>1198385</v>
      </c>
      <c r="D4551" s="89" t="s">
        <v>663</v>
      </c>
    </row>
    <row r="4552" spans="1:4" x14ac:dyDescent="0.25">
      <c r="A4552" s="89" t="s">
        <v>142</v>
      </c>
      <c r="B4552" s="89" t="s">
        <v>615</v>
      </c>
      <c r="C4552" s="89">
        <v>1488622.11</v>
      </c>
      <c r="D4552" s="89" t="s">
        <v>666</v>
      </c>
    </row>
    <row r="4553" spans="1:4" x14ac:dyDescent="0.25">
      <c r="A4553" s="89" t="s">
        <v>142</v>
      </c>
      <c r="B4553" s="89" t="s">
        <v>615</v>
      </c>
      <c r="C4553" s="89">
        <v>-340000</v>
      </c>
      <c r="D4553" s="89" t="s">
        <v>663</v>
      </c>
    </row>
    <row r="4554" spans="1:4" x14ac:dyDescent="0.25">
      <c r="A4554" s="89" t="s">
        <v>142</v>
      </c>
      <c r="B4554" s="89" t="s">
        <v>615</v>
      </c>
      <c r="C4554" s="89">
        <v>-48500</v>
      </c>
      <c r="D4554" s="89" t="s">
        <v>666</v>
      </c>
    </row>
    <row r="4555" spans="1:4" x14ac:dyDescent="0.25">
      <c r="A4555" s="89" t="s">
        <v>142</v>
      </c>
      <c r="B4555" s="89" t="s">
        <v>615</v>
      </c>
      <c r="C4555" s="89">
        <v>390426.75</v>
      </c>
      <c r="D4555" s="89" t="s">
        <v>666</v>
      </c>
    </row>
    <row r="4556" spans="1:4" x14ac:dyDescent="0.25">
      <c r="A4556" s="89" t="s">
        <v>142</v>
      </c>
      <c r="B4556" s="89" t="s">
        <v>615</v>
      </c>
      <c r="C4556" s="89">
        <v>-1966</v>
      </c>
      <c r="D4556" s="89" t="s">
        <v>666</v>
      </c>
    </row>
    <row r="4557" spans="1:4" x14ac:dyDescent="0.25">
      <c r="A4557" s="89" t="s">
        <v>142</v>
      </c>
      <c r="B4557" s="89" t="s">
        <v>615</v>
      </c>
      <c r="C4557" s="89">
        <v>1000816.52</v>
      </c>
      <c r="D4557" s="89" t="s">
        <v>666</v>
      </c>
    </row>
    <row r="4558" spans="1:4" x14ac:dyDescent="0.25">
      <c r="A4558" s="89" t="s">
        <v>142</v>
      </c>
      <c r="B4558" s="89" t="s">
        <v>615</v>
      </c>
      <c r="C4558" s="89">
        <v>827709.99</v>
      </c>
      <c r="D4558" s="89" t="s">
        <v>663</v>
      </c>
    </row>
    <row r="4559" spans="1:4" x14ac:dyDescent="0.25">
      <c r="A4559" s="89" t="s">
        <v>142</v>
      </c>
      <c r="B4559" s="89" t="s">
        <v>615</v>
      </c>
      <c r="C4559" s="89">
        <v>141126</v>
      </c>
      <c r="D4559" s="89" t="s">
        <v>663</v>
      </c>
    </row>
    <row r="4560" spans="1:4" x14ac:dyDescent="0.25">
      <c r="A4560" s="89" t="s">
        <v>142</v>
      </c>
      <c r="B4560" s="89" t="s">
        <v>615</v>
      </c>
      <c r="C4560" s="89">
        <v>146606</v>
      </c>
      <c r="D4560" s="89" t="s">
        <v>666</v>
      </c>
    </row>
    <row r="4561" spans="1:4" x14ac:dyDescent="0.25">
      <c r="A4561" s="89" t="s">
        <v>142</v>
      </c>
      <c r="B4561" s="89" t="s">
        <v>615</v>
      </c>
      <c r="C4561" s="89">
        <v>1807582.99</v>
      </c>
      <c r="D4561" s="89" t="s">
        <v>666</v>
      </c>
    </row>
    <row r="4562" spans="1:4" x14ac:dyDescent="0.25">
      <c r="A4562" s="89" t="s">
        <v>142</v>
      </c>
      <c r="B4562" s="89" t="s">
        <v>615</v>
      </c>
      <c r="C4562" s="89">
        <v>591902</v>
      </c>
      <c r="D4562" s="89" t="s">
        <v>666</v>
      </c>
    </row>
    <row r="4563" spans="1:4" x14ac:dyDescent="0.25">
      <c r="A4563" s="89" t="s">
        <v>142</v>
      </c>
      <c r="B4563" s="89" t="s">
        <v>615</v>
      </c>
      <c r="C4563" s="89">
        <v>662292</v>
      </c>
      <c r="D4563" s="89" t="s">
        <v>663</v>
      </c>
    </row>
    <row r="4564" spans="1:4" x14ac:dyDescent="0.25">
      <c r="A4564" s="89" t="s">
        <v>142</v>
      </c>
      <c r="B4564" s="89" t="s">
        <v>615</v>
      </c>
      <c r="C4564" s="89">
        <v>1575520.17</v>
      </c>
      <c r="D4564" s="89" t="s">
        <v>666</v>
      </c>
    </row>
    <row r="4565" spans="1:4" x14ac:dyDescent="0.25">
      <c r="A4565" s="89" t="s">
        <v>142</v>
      </c>
      <c r="B4565" s="89" t="s">
        <v>615</v>
      </c>
      <c r="C4565" s="89">
        <v>-37018</v>
      </c>
      <c r="D4565" s="89" t="s">
        <v>663</v>
      </c>
    </row>
    <row r="4566" spans="1:4" x14ac:dyDescent="0.25">
      <c r="A4566" s="89" t="s">
        <v>142</v>
      </c>
      <c r="B4566" s="89" t="s">
        <v>615</v>
      </c>
      <c r="C4566" s="89">
        <v>1357920.41</v>
      </c>
      <c r="D4566" s="89" t="s">
        <v>663</v>
      </c>
    </row>
    <row r="4567" spans="1:4" x14ac:dyDescent="0.25">
      <c r="A4567" s="89" t="s">
        <v>142</v>
      </c>
      <c r="B4567" s="89" t="s">
        <v>615</v>
      </c>
      <c r="C4567" s="89">
        <v>1802195</v>
      </c>
      <c r="D4567" s="89" t="s">
        <v>666</v>
      </c>
    </row>
    <row r="4568" spans="1:4" x14ac:dyDescent="0.25">
      <c r="A4568" s="89" t="s">
        <v>142</v>
      </c>
      <c r="B4568" s="89" t="s">
        <v>615</v>
      </c>
      <c r="C4568" s="89">
        <v>2020000</v>
      </c>
      <c r="D4568" s="89" t="s">
        <v>666</v>
      </c>
    </row>
    <row r="4569" spans="1:4" x14ac:dyDescent="0.25">
      <c r="A4569" s="89" t="s">
        <v>142</v>
      </c>
      <c r="B4569" s="89" t="s">
        <v>615</v>
      </c>
      <c r="C4569" s="89">
        <v>3655000</v>
      </c>
      <c r="D4569" s="89" t="s">
        <v>663</v>
      </c>
    </row>
    <row r="4570" spans="1:4" x14ac:dyDescent="0.25">
      <c r="A4570" s="89" t="s">
        <v>142</v>
      </c>
      <c r="B4570" s="89" t="s">
        <v>615</v>
      </c>
      <c r="C4570" s="89">
        <v>344452.91</v>
      </c>
      <c r="D4570" s="89" t="s">
        <v>666</v>
      </c>
    </row>
    <row r="4571" spans="1:4" x14ac:dyDescent="0.25">
      <c r="A4571" s="89" t="s">
        <v>142</v>
      </c>
      <c r="B4571" s="89" t="s">
        <v>615</v>
      </c>
      <c r="C4571" s="89">
        <v>2425411.71</v>
      </c>
      <c r="D4571" s="89" t="s">
        <v>663</v>
      </c>
    </row>
    <row r="4572" spans="1:4" x14ac:dyDescent="0.25">
      <c r="A4572" s="89" t="s">
        <v>142</v>
      </c>
      <c r="B4572" s="89" t="s">
        <v>615</v>
      </c>
      <c r="C4572" s="89">
        <v>50000</v>
      </c>
      <c r="D4572" s="89" t="s">
        <v>666</v>
      </c>
    </row>
    <row r="4573" spans="1:4" x14ac:dyDescent="0.25">
      <c r="A4573" s="89" t="s">
        <v>142</v>
      </c>
      <c r="B4573" s="89" t="s">
        <v>615</v>
      </c>
      <c r="C4573" s="89">
        <v>716088.2</v>
      </c>
      <c r="D4573" s="89" t="s">
        <v>666</v>
      </c>
    </row>
    <row r="4574" spans="1:4" x14ac:dyDescent="0.25">
      <c r="A4574" s="89" t="s">
        <v>142</v>
      </c>
      <c r="B4574" s="89" t="s">
        <v>615</v>
      </c>
      <c r="C4574" s="89">
        <v>3973205.26</v>
      </c>
      <c r="D4574" s="89" t="s">
        <v>663</v>
      </c>
    </row>
    <row r="4575" spans="1:4" x14ac:dyDescent="0.25">
      <c r="A4575" s="89" t="s">
        <v>142</v>
      </c>
      <c r="B4575" s="89" t="s">
        <v>615</v>
      </c>
      <c r="C4575" s="89">
        <v>1017706.3</v>
      </c>
      <c r="D4575" s="89" t="s">
        <v>666</v>
      </c>
    </row>
    <row r="4576" spans="1:4" x14ac:dyDescent="0.25">
      <c r="A4576" s="89" t="s">
        <v>142</v>
      </c>
      <c r="B4576" s="89" t="s">
        <v>615</v>
      </c>
      <c r="C4576" s="89">
        <v>50000</v>
      </c>
      <c r="D4576" s="89" t="s">
        <v>666</v>
      </c>
    </row>
    <row r="4577" spans="1:4" x14ac:dyDescent="0.25">
      <c r="A4577" s="89" t="s">
        <v>142</v>
      </c>
      <c r="B4577" s="89" t="s">
        <v>615</v>
      </c>
      <c r="C4577" s="89">
        <v>-152335.32</v>
      </c>
      <c r="D4577" s="89" t="s">
        <v>663</v>
      </c>
    </row>
    <row r="4578" spans="1:4" x14ac:dyDescent="0.25">
      <c r="A4578" s="89" t="s">
        <v>142</v>
      </c>
      <c r="B4578" s="89" t="s">
        <v>615</v>
      </c>
      <c r="C4578" s="89">
        <v>481881.4</v>
      </c>
      <c r="D4578" s="89" t="s">
        <v>666</v>
      </c>
    </row>
    <row r="4579" spans="1:4" x14ac:dyDescent="0.25">
      <c r="A4579" s="89" t="s">
        <v>142</v>
      </c>
      <c r="B4579" s="89" t="s">
        <v>615</v>
      </c>
      <c r="C4579" s="89">
        <v>86789.13</v>
      </c>
      <c r="D4579" s="89" t="s">
        <v>663</v>
      </c>
    </row>
    <row r="4580" spans="1:4" x14ac:dyDescent="0.25">
      <c r="A4580" s="89" t="s">
        <v>141</v>
      </c>
      <c r="B4580" s="89" t="s">
        <v>615</v>
      </c>
      <c r="C4580" s="89">
        <v>4118891</v>
      </c>
      <c r="D4580" s="89" t="s">
        <v>663</v>
      </c>
    </row>
    <row r="4581" spans="1:4" x14ac:dyDescent="0.25">
      <c r="A4581" s="89" t="s">
        <v>141</v>
      </c>
      <c r="B4581" s="89" t="s">
        <v>615</v>
      </c>
      <c r="C4581" s="89">
        <v>369558</v>
      </c>
      <c r="D4581" s="89" t="s">
        <v>666</v>
      </c>
    </row>
    <row r="4582" spans="1:4" x14ac:dyDescent="0.25">
      <c r="A4582" s="89" t="s">
        <v>141</v>
      </c>
      <c r="B4582" s="89" t="s">
        <v>615</v>
      </c>
      <c r="C4582" s="89">
        <v>2664400</v>
      </c>
      <c r="D4582" s="89" t="s">
        <v>663</v>
      </c>
    </row>
    <row r="4583" spans="1:4" x14ac:dyDescent="0.25">
      <c r="A4583" s="89" t="s">
        <v>141</v>
      </c>
      <c r="B4583" s="89" t="s">
        <v>615</v>
      </c>
      <c r="C4583" s="89">
        <v>7805803.6200000001</v>
      </c>
      <c r="D4583" s="89" t="s">
        <v>663</v>
      </c>
    </row>
    <row r="4584" spans="1:4" x14ac:dyDescent="0.25">
      <c r="A4584" s="89" t="s">
        <v>141</v>
      </c>
      <c r="B4584" s="89" t="s">
        <v>615</v>
      </c>
      <c r="C4584" s="89">
        <v>914364</v>
      </c>
      <c r="D4584" s="89" t="s">
        <v>666</v>
      </c>
    </row>
    <row r="4585" spans="1:4" x14ac:dyDescent="0.25">
      <c r="A4585" s="89" t="s">
        <v>141</v>
      </c>
      <c r="B4585" s="89" t="s">
        <v>615</v>
      </c>
      <c r="C4585" s="89">
        <v>4903992</v>
      </c>
      <c r="D4585" s="89" t="s">
        <v>666</v>
      </c>
    </row>
    <row r="4586" spans="1:4" x14ac:dyDescent="0.25">
      <c r="A4586" s="89" t="s">
        <v>141</v>
      </c>
      <c r="B4586" s="89" t="s">
        <v>615</v>
      </c>
      <c r="C4586" s="89">
        <v>10900000</v>
      </c>
      <c r="D4586" s="89" t="s">
        <v>663</v>
      </c>
    </row>
    <row r="4587" spans="1:4" x14ac:dyDescent="0.25">
      <c r="A4587" s="89" t="s">
        <v>141</v>
      </c>
      <c r="B4587" s="89" t="s">
        <v>615</v>
      </c>
      <c r="C4587" s="89">
        <v>11430950</v>
      </c>
      <c r="D4587" s="89" t="s">
        <v>663</v>
      </c>
    </row>
    <row r="4588" spans="1:4" x14ac:dyDescent="0.25">
      <c r="A4588" s="89" t="s">
        <v>141</v>
      </c>
      <c r="B4588" s="89" t="s">
        <v>615</v>
      </c>
      <c r="C4588" s="89">
        <v>748613</v>
      </c>
      <c r="D4588" s="89" t="s">
        <v>666</v>
      </c>
    </row>
    <row r="4589" spans="1:4" x14ac:dyDescent="0.25">
      <c r="A4589" s="89" t="s">
        <v>141</v>
      </c>
      <c r="B4589" s="89" t="s">
        <v>615</v>
      </c>
      <c r="C4589" s="89">
        <v>924772.38</v>
      </c>
      <c r="D4589" s="89" t="s">
        <v>663</v>
      </c>
    </row>
    <row r="4590" spans="1:4" x14ac:dyDescent="0.25">
      <c r="A4590" s="89" t="s">
        <v>141</v>
      </c>
      <c r="B4590" s="89" t="s">
        <v>615</v>
      </c>
      <c r="C4590" s="89">
        <v>12836534.65</v>
      </c>
      <c r="D4590" s="89" t="s">
        <v>666</v>
      </c>
    </row>
    <row r="4591" spans="1:4" x14ac:dyDescent="0.25">
      <c r="A4591" s="89" t="s">
        <v>141</v>
      </c>
      <c r="B4591" s="89" t="s">
        <v>615</v>
      </c>
      <c r="C4591" s="89">
        <v>920775.73</v>
      </c>
      <c r="D4591" s="89" t="s">
        <v>663</v>
      </c>
    </row>
    <row r="4592" spans="1:4" x14ac:dyDescent="0.25">
      <c r="A4592" s="89" t="s">
        <v>141</v>
      </c>
      <c r="B4592" s="89" t="s">
        <v>615</v>
      </c>
      <c r="C4592" s="89">
        <v>132930</v>
      </c>
      <c r="D4592" s="89" t="s">
        <v>663</v>
      </c>
    </row>
    <row r="4593" spans="1:4" x14ac:dyDescent="0.25">
      <c r="A4593" s="89" t="s">
        <v>141</v>
      </c>
      <c r="B4593" s="89" t="s">
        <v>615</v>
      </c>
      <c r="C4593" s="89">
        <v>358841.3</v>
      </c>
      <c r="D4593" s="89" t="s">
        <v>663</v>
      </c>
    </row>
    <row r="4594" spans="1:4" x14ac:dyDescent="0.25">
      <c r="A4594" s="89" t="s">
        <v>141</v>
      </c>
      <c r="B4594" s="89" t="s">
        <v>615</v>
      </c>
      <c r="C4594" s="89">
        <v>12729814.390000001</v>
      </c>
      <c r="D4594" s="89" t="s">
        <v>666</v>
      </c>
    </row>
    <row r="4595" spans="1:4" x14ac:dyDescent="0.25">
      <c r="A4595" s="89" t="s">
        <v>141</v>
      </c>
      <c r="B4595" s="89" t="s">
        <v>615</v>
      </c>
      <c r="C4595" s="89">
        <v>10879477</v>
      </c>
      <c r="D4595" s="89" t="s">
        <v>663</v>
      </c>
    </row>
    <row r="4596" spans="1:4" x14ac:dyDescent="0.25">
      <c r="A4596" s="89" t="s">
        <v>141</v>
      </c>
      <c r="B4596" s="89" t="s">
        <v>615</v>
      </c>
      <c r="C4596" s="89">
        <v>7714149</v>
      </c>
      <c r="D4596" s="89" t="s">
        <v>666</v>
      </c>
    </row>
    <row r="4597" spans="1:4" x14ac:dyDescent="0.25">
      <c r="A4597" s="89" t="s">
        <v>141</v>
      </c>
      <c r="B4597" s="89" t="s">
        <v>615</v>
      </c>
      <c r="C4597" s="89">
        <v>1477629.97</v>
      </c>
      <c r="D4597" s="89" t="s">
        <v>663</v>
      </c>
    </row>
    <row r="4598" spans="1:4" x14ac:dyDescent="0.25">
      <c r="A4598" s="89" t="s">
        <v>141</v>
      </c>
      <c r="B4598" s="89" t="s">
        <v>615</v>
      </c>
      <c r="C4598" s="89">
        <v>2453399.5699999998</v>
      </c>
      <c r="D4598" s="89" t="s">
        <v>663</v>
      </c>
    </row>
    <row r="4599" spans="1:4" x14ac:dyDescent="0.25">
      <c r="A4599" s="89" t="s">
        <v>141</v>
      </c>
      <c r="B4599" s="89" t="s">
        <v>615</v>
      </c>
      <c r="C4599" s="89">
        <v>8928054</v>
      </c>
      <c r="D4599" s="89" t="s">
        <v>663</v>
      </c>
    </row>
    <row r="4600" spans="1:4" x14ac:dyDescent="0.25">
      <c r="A4600" s="89" t="s">
        <v>141</v>
      </c>
      <c r="B4600" s="89" t="s">
        <v>615</v>
      </c>
      <c r="C4600" s="89">
        <v>12544471</v>
      </c>
      <c r="D4600" s="89" t="s">
        <v>666</v>
      </c>
    </row>
    <row r="4601" spans="1:4" x14ac:dyDescent="0.25">
      <c r="A4601" s="89" t="s">
        <v>141</v>
      </c>
      <c r="B4601" s="89" t="s">
        <v>615</v>
      </c>
      <c r="C4601" s="89">
        <v>46835</v>
      </c>
      <c r="D4601" s="89" t="s">
        <v>666</v>
      </c>
    </row>
    <row r="4602" spans="1:4" x14ac:dyDescent="0.25">
      <c r="A4602" s="89" t="s">
        <v>141</v>
      </c>
      <c r="B4602" s="89" t="s">
        <v>615</v>
      </c>
      <c r="C4602" s="89">
        <v>4015409</v>
      </c>
      <c r="D4602" s="89" t="s">
        <v>663</v>
      </c>
    </row>
    <row r="4603" spans="1:4" x14ac:dyDescent="0.25">
      <c r="A4603" s="89" t="s">
        <v>141</v>
      </c>
      <c r="B4603" s="89" t="s">
        <v>615</v>
      </c>
      <c r="C4603" s="89">
        <v>1322366.31</v>
      </c>
      <c r="D4603" s="89" t="s">
        <v>666</v>
      </c>
    </row>
    <row r="4604" spans="1:4" x14ac:dyDescent="0.25">
      <c r="A4604" s="89" t="s">
        <v>141</v>
      </c>
      <c r="B4604" s="89" t="s">
        <v>615</v>
      </c>
      <c r="C4604" s="89">
        <v>1517260</v>
      </c>
      <c r="D4604" s="89" t="s">
        <v>666</v>
      </c>
    </row>
    <row r="4605" spans="1:4" x14ac:dyDescent="0.25">
      <c r="A4605" s="89" t="s">
        <v>141</v>
      </c>
      <c r="B4605" s="89" t="s">
        <v>615</v>
      </c>
      <c r="C4605" s="89">
        <v>94910</v>
      </c>
      <c r="D4605" s="89" t="s">
        <v>666</v>
      </c>
    </row>
    <row r="4606" spans="1:4" x14ac:dyDescent="0.25">
      <c r="A4606" s="89" t="s">
        <v>141</v>
      </c>
      <c r="B4606" s="89" t="s">
        <v>615</v>
      </c>
      <c r="C4606" s="89">
        <v>50000</v>
      </c>
      <c r="D4606" s="89" t="s">
        <v>666</v>
      </c>
    </row>
    <row r="4607" spans="1:4" x14ac:dyDescent="0.25">
      <c r="A4607" s="89" t="s">
        <v>141</v>
      </c>
      <c r="B4607" s="89" t="s">
        <v>615</v>
      </c>
      <c r="C4607" s="89">
        <v>6867672.4500000002</v>
      </c>
      <c r="D4607" s="89" t="s">
        <v>666</v>
      </c>
    </row>
    <row r="4608" spans="1:4" x14ac:dyDescent="0.25">
      <c r="A4608" s="89" t="s">
        <v>141</v>
      </c>
      <c r="B4608" s="89" t="s">
        <v>615</v>
      </c>
      <c r="C4608" s="89">
        <v>13790000</v>
      </c>
      <c r="D4608" s="89" t="s">
        <v>663</v>
      </c>
    </row>
    <row r="4609" spans="1:4" x14ac:dyDescent="0.25">
      <c r="A4609" s="89" t="s">
        <v>141</v>
      </c>
      <c r="B4609" s="89" t="s">
        <v>615</v>
      </c>
      <c r="C4609" s="89">
        <v>4049054</v>
      </c>
      <c r="D4609" s="89" t="s">
        <v>663</v>
      </c>
    </row>
    <row r="4610" spans="1:4" x14ac:dyDescent="0.25">
      <c r="A4610" s="89" t="s">
        <v>141</v>
      </c>
      <c r="B4610" s="89" t="s">
        <v>615</v>
      </c>
      <c r="C4610" s="89">
        <v>118711.57</v>
      </c>
      <c r="D4610" s="89" t="s">
        <v>663</v>
      </c>
    </row>
    <row r="4611" spans="1:4" x14ac:dyDescent="0.25">
      <c r="A4611" s="89" t="s">
        <v>141</v>
      </c>
      <c r="B4611" s="89" t="s">
        <v>615</v>
      </c>
      <c r="C4611" s="89">
        <v>1088268.6000000001</v>
      </c>
      <c r="D4611" s="89" t="s">
        <v>663</v>
      </c>
    </row>
    <row r="4612" spans="1:4" x14ac:dyDescent="0.25">
      <c r="A4612" s="89" t="s">
        <v>141</v>
      </c>
      <c r="B4612" s="89" t="s">
        <v>615</v>
      </c>
      <c r="C4612" s="89">
        <v>22396473</v>
      </c>
      <c r="D4612" s="89" t="s">
        <v>663</v>
      </c>
    </row>
    <row r="4613" spans="1:4" x14ac:dyDescent="0.25">
      <c r="A4613" s="89" t="s">
        <v>141</v>
      </c>
      <c r="B4613" s="89" t="s">
        <v>615</v>
      </c>
      <c r="C4613" s="89">
        <v>11161285.960000001</v>
      </c>
      <c r="D4613" s="89" t="s">
        <v>666</v>
      </c>
    </row>
    <row r="4614" spans="1:4" x14ac:dyDescent="0.25">
      <c r="A4614" s="89" t="s">
        <v>141</v>
      </c>
      <c r="B4614" s="89" t="s">
        <v>615</v>
      </c>
      <c r="C4614" s="89">
        <v>651600</v>
      </c>
      <c r="D4614" s="89" t="s">
        <v>666</v>
      </c>
    </row>
    <row r="4615" spans="1:4" x14ac:dyDescent="0.25">
      <c r="A4615" s="89" t="s">
        <v>141</v>
      </c>
      <c r="B4615" s="89" t="s">
        <v>615</v>
      </c>
      <c r="C4615" s="89">
        <v>74132</v>
      </c>
      <c r="D4615" s="89" t="s">
        <v>666</v>
      </c>
    </row>
    <row r="4616" spans="1:4" x14ac:dyDescent="0.25">
      <c r="A4616" s="89" t="s">
        <v>141</v>
      </c>
      <c r="B4616" s="89" t="s">
        <v>615</v>
      </c>
      <c r="C4616" s="89">
        <v>27627.58</v>
      </c>
      <c r="D4616" s="89" t="s">
        <v>663</v>
      </c>
    </row>
    <row r="4617" spans="1:4" x14ac:dyDescent="0.25">
      <c r="A4617" s="89" t="s">
        <v>141</v>
      </c>
      <c r="B4617" s="89" t="s">
        <v>615</v>
      </c>
      <c r="C4617" s="89">
        <v>2400000</v>
      </c>
      <c r="D4617" s="89" t="s">
        <v>663</v>
      </c>
    </row>
    <row r="4618" spans="1:4" x14ac:dyDescent="0.25">
      <c r="A4618" s="89" t="s">
        <v>141</v>
      </c>
      <c r="B4618" s="89" t="s">
        <v>615</v>
      </c>
      <c r="C4618" s="89">
        <v>25722.15</v>
      </c>
      <c r="D4618" s="89" t="s">
        <v>663</v>
      </c>
    </row>
    <row r="4619" spans="1:4" x14ac:dyDescent="0.25">
      <c r="A4619" s="89" t="s">
        <v>141</v>
      </c>
      <c r="B4619" s="89" t="s">
        <v>615</v>
      </c>
      <c r="C4619" s="89">
        <v>31707425</v>
      </c>
      <c r="D4619" s="89" t="s">
        <v>663</v>
      </c>
    </row>
    <row r="4620" spans="1:4" x14ac:dyDescent="0.25">
      <c r="A4620" s="89" t="s">
        <v>141</v>
      </c>
      <c r="B4620" s="89" t="s">
        <v>615</v>
      </c>
      <c r="C4620" s="89">
        <v>708048</v>
      </c>
      <c r="D4620" s="89" t="s">
        <v>666</v>
      </c>
    </row>
    <row r="4621" spans="1:4" x14ac:dyDescent="0.25">
      <c r="A4621" s="89" t="s">
        <v>141</v>
      </c>
      <c r="B4621" s="89" t="s">
        <v>615</v>
      </c>
      <c r="C4621" s="89">
        <v>718123</v>
      </c>
      <c r="D4621" s="89" t="s">
        <v>666</v>
      </c>
    </row>
    <row r="4622" spans="1:4" x14ac:dyDescent="0.25">
      <c r="A4622" s="89" t="s">
        <v>141</v>
      </c>
      <c r="B4622" s="89" t="s">
        <v>615</v>
      </c>
      <c r="C4622" s="89">
        <v>6600957</v>
      </c>
      <c r="D4622" s="89" t="s">
        <v>663</v>
      </c>
    </row>
    <row r="4623" spans="1:4" x14ac:dyDescent="0.25">
      <c r="A4623" s="89" t="s">
        <v>141</v>
      </c>
      <c r="B4623" s="89" t="s">
        <v>615</v>
      </c>
      <c r="C4623" s="89">
        <v>7058166</v>
      </c>
      <c r="D4623" s="89" t="s">
        <v>663</v>
      </c>
    </row>
    <row r="4624" spans="1:4" x14ac:dyDescent="0.25">
      <c r="A4624" s="89" t="s">
        <v>141</v>
      </c>
      <c r="B4624" s="89" t="s">
        <v>615</v>
      </c>
      <c r="C4624" s="89">
        <v>1570506</v>
      </c>
      <c r="D4624" s="89" t="s">
        <v>663</v>
      </c>
    </row>
    <row r="4625" spans="1:4" x14ac:dyDescent="0.25">
      <c r="A4625" s="89" t="s">
        <v>141</v>
      </c>
      <c r="B4625" s="89" t="s">
        <v>615</v>
      </c>
      <c r="C4625" s="89">
        <v>724329</v>
      </c>
      <c r="D4625" s="89" t="s">
        <v>666</v>
      </c>
    </row>
    <row r="4626" spans="1:4" x14ac:dyDescent="0.25">
      <c r="A4626" s="89" t="s">
        <v>141</v>
      </c>
      <c r="B4626" s="89" t="s">
        <v>615</v>
      </c>
      <c r="C4626" s="89">
        <v>7640850</v>
      </c>
      <c r="D4626" s="89" t="s">
        <v>663</v>
      </c>
    </row>
    <row r="4627" spans="1:4" x14ac:dyDescent="0.25">
      <c r="A4627" s="89" t="s">
        <v>141</v>
      </c>
      <c r="B4627" s="89" t="s">
        <v>615</v>
      </c>
      <c r="C4627" s="89">
        <v>13216875.57</v>
      </c>
      <c r="D4627" s="89" t="s">
        <v>663</v>
      </c>
    </row>
    <row r="4628" spans="1:4" x14ac:dyDescent="0.25">
      <c r="A4628" s="89" t="s">
        <v>141</v>
      </c>
      <c r="B4628" s="89" t="s">
        <v>615</v>
      </c>
      <c r="C4628" s="89">
        <v>588005</v>
      </c>
      <c r="D4628" s="89" t="s">
        <v>666</v>
      </c>
    </row>
    <row r="4629" spans="1:4" x14ac:dyDescent="0.25">
      <c r="A4629" s="89" t="s">
        <v>141</v>
      </c>
      <c r="B4629" s="89" t="s">
        <v>615</v>
      </c>
      <c r="C4629" s="89">
        <v>1060000</v>
      </c>
      <c r="D4629" s="89" t="s">
        <v>666</v>
      </c>
    </row>
    <row r="4630" spans="1:4" x14ac:dyDescent="0.25">
      <c r="A4630" s="89" t="s">
        <v>141</v>
      </c>
      <c r="B4630" s="89" t="s">
        <v>615</v>
      </c>
      <c r="C4630" s="89">
        <v>1761235</v>
      </c>
      <c r="D4630" s="89" t="s">
        <v>666</v>
      </c>
    </row>
    <row r="4631" spans="1:4" x14ac:dyDescent="0.25">
      <c r="A4631" s="89" t="s">
        <v>141</v>
      </c>
      <c r="B4631" s="89" t="s">
        <v>615</v>
      </c>
      <c r="C4631" s="89">
        <v>8849500</v>
      </c>
      <c r="D4631" s="89" t="s">
        <v>663</v>
      </c>
    </row>
    <row r="4632" spans="1:4" x14ac:dyDescent="0.25">
      <c r="A4632" s="89" t="s">
        <v>141</v>
      </c>
      <c r="B4632" s="89" t="s">
        <v>615</v>
      </c>
      <c r="C4632" s="89">
        <v>1777851</v>
      </c>
      <c r="D4632" s="89" t="s">
        <v>666</v>
      </c>
    </row>
    <row r="4633" spans="1:4" x14ac:dyDescent="0.25">
      <c r="A4633" s="89" t="s">
        <v>141</v>
      </c>
      <c r="B4633" s="89" t="s">
        <v>615</v>
      </c>
      <c r="C4633" s="89">
        <v>2973516</v>
      </c>
      <c r="D4633" s="89" t="s">
        <v>666</v>
      </c>
    </row>
    <row r="4634" spans="1:4" x14ac:dyDescent="0.25">
      <c r="A4634" s="89" t="s">
        <v>141</v>
      </c>
      <c r="B4634" s="89" t="s">
        <v>615</v>
      </c>
      <c r="C4634" s="89">
        <v>23802531</v>
      </c>
      <c r="D4634" s="89" t="s">
        <v>663</v>
      </c>
    </row>
    <row r="4635" spans="1:4" x14ac:dyDescent="0.25">
      <c r="A4635" s="89" t="s">
        <v>141</v>
      </c>
      <c r="B4635" s="89" t="s">
        <v>615</v>
      </c>
      <c r="C4635" s="89">
        <v>641429.80000000005</v>
      </c>
      <c r="D4635" s="89" t="s">
        <v>663</v>
      </c>
    </row>
    <row r="4636" spans="1:4" x14ac:dyDescent="0.25">
      <c r="A4636" s="89" t="s">
        <v>141</v>
      </c>
      <c r="B4636" s="89" t="s">
        <v>615</v>
      </c>
      <c r="C4636" s="89">
        <v>7954652.25</v>
      </c>
      <c r="D4636" s="89" t="s">
        <v>666</v>
      </c>
    </row>
    <row r="4637" spans="1:4" x14ac:dyDescent="0.25">
      <c r="A4637" s="89" t="s">
        <v>141</v>
      </c>
      <c r="B4637" s="89" t="s">
        <v>615</v>
      </c>
      <c r="C4637" s="89">
        <v>744760</v>
      </c>
      <c r="D4637" s="89" t="s">
        <v>666</v>
      </c>
    </row>
    <row r="4638" spans="1:4" x14ac:dyDescent="0.25">
      <c r="A4638" s="89" t="s">
        <v>141</v>
      </c>
      <c r="B4638" s="89" t="s">
        <v>615</v>
      </c>
      <c r="C4638" s="89">
        <v>57796.24</v>
      </c>
      <c r="D4638" s="89" t="s">
        <v>663</v>
      </c>
    </row>
    <row r="4639" spans="1:4" x14ac:dyDescent="0.25">
      <c r="A4639" s="89" t="s">
        <v>141</v>
      </c>
      <c r="B4639" s="89" t="s">
        <v>615</v>
      </c>
      <c r="C4639" s="89">
        <v>1703037.93</v>
      </c>
      <c r="D4639" s="89" t="s">
        <v>663</v>
      </c>
    </row>
    <row r="4640" spans="1:4" x14ac:dyDescent="0.25">
      <c r="A4640" s="89" t="s">
        <v>141</v>
      </c>
      <c r="B4640" s="89" t="s">
        <v>615</v>
      </c>
      <c r="C4640" s="89">
        <v>50000</v>
      </c>
      <c r="D4640" s="89" t="s">
        <v>666</v>
      </c>
    </row>
    <row r="4641" spans="1:4" x14ac:dyDescent="0.25">
      <c r="A4641" s="89" t="s">
        <v>141</v>
      </c>
      <c r="B4641" s="89" t="s">
        <v>615</v>
      </c>
      <c r="C4641" s="89">
        <v>39108</v>
      </c>
      <c r="D4641" s="89" t="s">
        <v>666</v>
      </c>
    </row>
    <row r="4642" spans="1:4" x14ac:dyDescent="0.25">
      <c r="A4642" s="89" t="s">
        <v>141</v>
      </c>
      <c r="B4642" s="89" t="s">
        <v>615</v>
      </c>
      <c r="C4642" s="89">
        <v>1535643.89</v>
      </c>
      <c r="D4642" s="89" t="s">
        <v>663</v>
      </c>
    </row>
    <row r="4643" spans="1:4" x14ac:dyDescent="0.25">
      <c r="A4643" s="89" t="s">
        <v>141</v>
      </c>
      <c r="B4643" s="89" t="s">
        <v>615</v>
      </c>
      <c r="C4643" s="89">
        <v>2042847</v>
      </c>
      <c r="D4643" s="89" t="s">
        <v>663</v>
      </c>
    </row>
    <row r="4644" spans="1:4" x14ac:dyDescent="0.25">
      <c r="A4644" s="89" t="s">
        <v>141</v>
      </c>
      <c r="B4644" s="89" t="s">
        <v>615</v>
      </c>
      <c r="C4644" s="89">
        <v>6393736</v>
      </c>
      <c r="D4644" s="89" t="s">
        <v>666</v>
      </c>
    </row>
    <row r="4645" spans="1:4" x14ac:dyDescent="0.25">
      <c r="A4645" s="89" t="s">
        <v>141</v>
      </c>
      <c r="B4645" s="89" t="s">
        <v>615</v>
      </c>
      <c r="C4645" s="89">
        <v>3827631.56</v>
      </c>
      <c r="D4645" s="89" t="s">
        <v>663</v>
      </c>
    </row>
    <row r="4646" spans="1:4" x14ac:dyDescent="0.25">
      <c r="A4646" s="89" t="s">
        <v>141</v>
      </c>
      <c r="B4646" s="89" t="s">
        <v>615</v>
      </c>
      <c r="C4646" s="89">
        <v>45046.080000000002</v>
      </c>
      <c r="D4646" s="89" t="s">
        <v>663</v>
      </c>
    </row>
    <row r="4647" spans="1:4" x14ac:dyDescent="0.25">
      <c r="A4647" s="89" t="s">
        <v>141</v>
      </c>
      <c r="B4647" s="89" t="s">
        <v>615</v>
      </c>
      <c r="C4647" s="89">
        <v>474460.77</v>
      </c>
      <c r="D4647" s="89" t="s">
        <v>663</v>
      </c>
    </row>
    <row r="4648" spans="1:4" x14ac:dyDescent="0.25">
      <c r="A4648" s="89" t="s">
        <v>141</v>
      </c>
      <c r="B4648" s="89" t="s">
        <v>615</v>
      </c>
      <c r="C4648" s="89">
        <v>625869.41</v>
      </c>
      <c r="D4648" s="89" t="s">
        <v>663</v>
      </c>
    </row>
    <row r="4649" spans="1:4" x14ac:dyDescent="0.25">
      <c r="A4649" s="89" t="s">
        <v>141</v>
      </c>
      <c r="B4649" s="89" t="s">
        <v>615</v>
      </c>
      <c r="C4649" s="89">
        <v>6075393</v>
      </c>
      <c r="D4649" s="89" t="s">
        <v>663</v>
      </c>
    </row>
    <row r="4650" spans="1:4" x14ac:dyDescent="0.25">
      <c r="A4650" s="89" t="s">
        <v>141</v>
      </c>
      <c r="B4650" s="89" t="s">
        <v>615</v>
      </c>
      <c r="C4650" s="89">
        <v>1320145.71</v>
      </c>
      <c r="D4650" s="89" t="s">
        <v>666</v>
      </c>
    </row>
    <row r="4651" spans="1:4" x14ac:dyDescent="0.25">
      <c r="A4651" s="89" t="s">
        <v>141</v>
      </c>
      <c r="B4651" s="89" t="s">
        <v>615</v>
      </c>
      <c r="C4651" s="89">
        <v>115031</v>
      </c>
      <c r="D4651" s="89" t="s">
        <v>666</v>
      </c>
    </row>
    <row r="4652" spans="1:4" x14ac:dyDescent="0.25">
      <c r="A4652" s="89" t="s">
        <v>141</v>
      </c>
      <c r="B4652" s="89" t="s">
        <v>615</v>
      </c>
      <c r="C4652" s="89">
        <v>6032800</v>
      </c>
      <c r="D4652" s="89" t="s">
        <v>663</v>
      </c>
    </row>
    <row r="4653" spans="1:4" x14ac:dyDescent="0.25">
      <c r="A4653" s="89" t="s">
        <v>141</v>
      </c>
      <c r="B4653" s="89" t="s">
        <v>615</v>
      </c>
      <c r="C4653" s="89">
        <v>656659</v>
      </c>
      <c r="D4653" s="89" t="s">
        <v>663</v>
      </c>
    </row>
    <row r="4654" spans="1:4" x14ac:dyDescent="0.25">
      <c r="A4654" s="89" t="s">
        <v>141</v>
      </c>
      <c r="B4654" s="89" t="s">
        <v>615</v>
      </c>
      <c r="C4654" s="89">
        <v>6550301</v>
      </c>
      <c r="D4654" s="89" t="s">
        <v>663</v>
      </c>
    </row>
    <row r="4655" spans="1:4" x14ac:dyDescent="0.25">
      <c r="A4655" s="89" t="s">
        <v>141</v>
      </c>
      <c r="B4655" s="89" t="s">
        <v>615</v>
      </c>
      <c r="C4655" s="89">
        <v>36607</v>
      </c>
      <c r="D4655" s="89" t="s">
        <v>666</v>
      </c>
    </row>
    <row r="4656" spans="1:4" x14ac:dyDescent="0.25">
      <c r="A4656" s="89" t="s">
        <v>141</v>
      </c>
      <c r="B4656" s="89" t="s">
        <v>615</v>
      </c>
      <c r="C4656" s="89">
        <v>1151831.6100000001</v>
      </c>
      <c r="D4656" s="89" t="s">
        <v>666</v>
      </c>
    </row>
    <row r="4657" spans="1:4" x14ac:dyDescent="0.25">
      <c r="A4657" s="89" t="s">
        <v>141</v>
      </c>
      <c r="B4657" s="89" t="s">
        <v>615</v>
      </c>
      <c r="C4657" s="89">
        <v>27219.86</v>
      </c>
      <c r="D4657" s="89" t="s">
        <v>663</v>
      </c>
    </row>
    <row r="4658" spans="1:4" x14ac:dyDescent="0.25">
      <c r="A4658" s="89" t="s">
        <v>141</v>
      </c>
      <c r="B4658" s="89" t="s">
        <v>615</v>
      </c>
      <c r="C4658" s="89">
        <v>16362931</v>
      </c>
      <c r="D4658" s="89" t="s">
        <v>663</v>
      </c>
    </row>
    <row r="4659" spans="1:4" x14ac:dyDescent="0.25">
      <c r="A4659" s="89" t="s">
        <v>141</v>
      </c>
      <c r="B4659" s="89" t="s">
        <v>615</v>
      </c>
      <c r="C4659" s="89">
        <v>1375663.87</v>
      </c>
      <c r="D4659" s="89" t="s">
        <v>663</v>
      </c>
    </row>
    <row r="4660" spans="1:4" x14ac:dyDescent="0.25">
      <c r="A4660" s="89" t="s">
        <v>76</v>
      </c>
      <c r="B4660" s="89" t="s">
        <v>617</v>
      </c>
      <c r="C4660" s="89">
        <v>3069300</v>
      </c>
      <c r="D4660" s="89" t="s">
        <v>666</v>
      </c>
    </row>
    <row r="4661" spans="1:4" x14ac:dyDescent="0.25">
      <c r="A4661" s="89" t="s">
        <v>76</v>
      </c>
      <c r="B4661" s="89" t="s">
        <v>617</v>
      </c>
      <c r="C4661" s="89">
        <v>4395064</v>
      </c>
      <c r="D4661" s="89" t="s">
        <v>664</v>
      </c>
    </row>
    <row r="4662" spans="1:4" x14ac:dyDescent="0.25">
      <c r="A4662" s="89" t="s">
        <v>76</v>
      </c>
      <c r="B4662" s="89" t="s">
        <v>617</v>
      </c>
      <c r="C4662" s="89">
        <v>1745236.4</v>
      </c>
      <c r="D4662" s="89" t="s">
        <v>666</v>
      </c>
    </row>
    <row r="4663" spans="1:4" x14ac:dyDescent="0.25">
      <c r="A4663" s="89" t="s">
        <v>76</v>
      </c>
      <c r="B4663" s="89" t="s">
        <v>617</v>
      </c>
      <c r="C4663" s="89">
        <v>760000.31</v>
      </c>
      <c r="D4663" s="89" t="s">
        <v>670</v>
      </c>
    </row>
    <row r="4664" spans="1:4" x14ac:dyDescent="0.25">
      <c r="A4664" s="89" t="s">
        <v>76</v>
      </c>
      <c r="B4664" s="89" t="s">
        <v>617</v>
      </c>
      <c r="C4664" s="89">
        <v>490486.89</v>
      </c>
      <c r="D4664" s="89" t="s">
        <v>663</v>
      </c>
    </row>
    <row r="4665" spans="1:4" x14ac:dyDescent="0.25">
      <c r="A4665" s="89" t="s">
        <v>76</v>
      </c>
      <c r="B4665" s="89" t="s">
        <v>617</v>
      </c>
      <c r="C4665" s="89">
        <v>1221386</v>
      </c>
      <c r="D4665" s="89" t="s">
        <v>664</v>
      </c>
    </row>
    <row r="4666" spans="1:4" x14ac:dyDescent="0.25">
      <c r="A4666" s="89" t="s">
        <v>76</v>
      </c>
      <c r="B4666" s="89" t="s">
        <v>617</v>
      </c>
      <c r="C4666" s="89">
        <v>1131810.6000000001</v>
      </c>
      <c r="D4666" s="89" t="s">
        <v>666</v>
      </c>
    </row>
    <row r="4667" spans="1:4" x14ac:dyDescent="0.25">
      <c r="A4667" s="89" t="s">
        <v>76</v>
      </c>
      <c r="B4667" s="89" t="s">
        <v>617</v>
      </c>
      <c r="C4667" s="89">
        <v>3303285</v>
      </c>
      <c r="D4667" s="89" t="s">
        <v>670</v>
      </c>
    </row>
    <row r="4668" spans="1:4" x14ac:dyDescent="0.25">
      <c r="A4668" s="89" t="s">
        <v>76</v>
      </c>
      <c r="B4668" s="89" t="s">
        <v>617</v>
      </c>
      <c r="C4668" s="89">
        <v>854629</v>
      </c>
      <c r="D4668" s="89" t="s">
        <v>670</v>
      </c>
    </row>
    <row r="4669" spans="1:4" x14ac:dyDescent="0.25">
      <c r="A4669" s="89" t="s">
        <v>76</v>
      </c>
      <c r="B4669" s="89" t="s">
        <v>617</v>
      </c>
      <c r="C4669" s="89">
        <v>6135586.4500000002</v>
      </c>
      <c r="D4669" s="89" t="s">
        <v>663</v>
      </c>
    </row>
    <row r="4670" spans="1:4" x14ac:dyDescent="0.25">
      <c r="A4670" s="89" t="s">
        <v>76</v>
      </c>
      <c r="B4670" s="89" t="s">
        <v>617</v>
      </c>
      <c r="C4670" s="89">
        <v>14935348</v>
      </c>
      <c r="D4670" s="89" t="s">
        <v>664</v>
      </c>
    </row>
    <row r="4671" spans="1:4" x14ac:dyDescent="0.25">
      <c r="A4671" s="89" t="s">
        <v>76</v>
      </c>
      <c r="B4671" s="89" t="s">
        <v>617</v>
      </c>
      <c r="C4671" s="89">
        <v>8198973</v>
      </c>
      <c r="D4671" s="89" t="s">
        <v>665</v>
      </c>
    </row>
    <row r="4672" spans="1:4" x14ac:dyDescent="0.25">
      <c r="A4672" s="89" t="s">
        <v>76</v>
      </c>
      <c r="B4672" s="89" t="s">
        <v>617</v>
      </c>
      <c r="C4672" s="89">
        <v>11620608</v>
      </c>
      <c r="D4672" s="89" t="s">
        <v>663</v>
      </c>
    </row>
    <row r="4673" spans="1:4" x14ac:dyDescent="0.25">
      <c r="A4673" s="89" t="s">
        <v>76</v>
      </c>
      <c r="B4673" s="89" t="s">
        <v>617</v>
      </c>
      <c r="C4673" s="89">
        <v>7913656</v>
      </c>
      <c r="D4673" s="89" t="s">
        <v>663</v>
      </c>
    </row>
    <row r="4674" spans="1:4" x14ac:dyDescent="0.25">
      <c r="A4674" s="89" t="s">
        <v>76</v>
      </c>
      <c r="B4674" s="89" t="s">
        <v>617</v>
      </c>
      <c r="C4674" s="89">
        <v>11008731</v>
      </c>
      <c r="D4674" s="89" t="s">
        <v>664</v>
      </c>
    </row>
    <row r="4675" spans="1:4" x14ac:dyDescent="0.25">
      <c r="A4675" s="89" t="s">
        <v>76</v>
      </c>
      <c r="B4675" s="89" t="s">
        <v>617</v>
      </c>
      <c r="C4675" s="89">
        <v>5569094</v>
      </c>
      <c r="D4675" s="89" t="s">
        <v>665</v>
      </c>
    </row>
    <row r="4676" spans="1:4" x14ac:dyDescent="0.25">
      <c r="A4676" s="89" t="s">
        <v>76</v>
      </c>
      <c r="B4676" s="89" t="s">
        <v>617</v>
      </c>
      <c r="C4676" s="89">
        <v>4144556</v>
      </c>
      <c r="D4676" s="89" t="s">
        <v>663</v>
      </c>
    </row>
    <row r="4677" spans="1:4" x14ac:dyDescent="0.25">
      <c r="A4677" s="89" t="s">
        <v>76</v>
      </c>
      <c r="B4677" s="89" t="s">
        <v>617</v>
      </c>
      <c r="C4677" s="89">
        <v>5350311</v>
      </c>
      <c r="D4677" s="89" t="s">
        <v>663</v>
      </c>
    </row>
    <row r="4678" spans="1:4" x14ac:dyDescent="0.25">
      <c r="A4678" s="89" t="s">
        <v>76</v>
      </c>
      <c r="B4678" s="89" t="s">
        <v>617</v>
      </c>
      <c r="C4678" s="89">
        <v>7365848</v>
      </c>
      <c r="D4678" s="89" t="s">
        <v>665</v>
      </c>
    </row>
    <row r="4679" spans="1:4" x14ac:dyDescent="0.25">
      <c r="A4679" s="89" t="s">
        <v>76</v>
      </c>
      <c r="B4679" s="89" t="s">
        <v>617</v>
      </c>
      <c r="C4679" s="89">
        <v>11946966</v>
      </c>
      <c r="D4679" s="89" t="s">
        <v>663</v>
      </c>
    </row>
    <row r="4680" spans="1:4" x14ac:dyDescent="0.25">
      <c r="A4680" s="89" t="s">
        <v>76</v>
      </c>
      <c r="B4680" s="89" t="s">
        <v>617</v>
      </c>
      <c r="C4680" s="89">
        <v>3572198</v>
      </c>
      <c r="D4680" s="89" t="s">
        <v>664</v>
      </c>
    </row>
    <row r="4681" spans="1:4" x14ac:dyDescent="0.25">
      <c r="A4681" s="89" t="s">
        <v>76</v>
      </c>
      <c r="B4681" s="89" t="s">
        <v>617</v>
      </c>
      <c r="C4681" s="89">
        <v>7500237</v>
      </c>
      <c r="D4681" s="89" t="s">
        <v>664</v>
      </c>
    </row>
    <row r="4682" spans="1:4" x14ac:dyDescent="0.25">
      <c r="A4682" s="89" t="s">
        <v>76</v>
      </c>
      <c r="B4682" s="89" t="s">
        <v>617</v>
      </c>
      <c r="C4682" s="89">
        <v>9401148</v>
      </c>
      <c r="D4682" s="89" t="s">
        <v>663</v>
      </c>
    </row>
    <row r="4683" spans="1:4" x14ac:dyDescent="0.25">
      <c r="A4683" s="89" t="s">
        <v>76</v>
      </c>
      <c r="B4683" s="89" t="s">
        <v>617</v>
      </c>
      <c r="C4683" s="89">
        <v>1962397</v>
      </c>
      <c r="D4683" s="89" t="s">
        <v>666</v>
      </c>
    </row>
    <row r="4684" spans="1:4" x14ac:dyDescent="0.25">
      <c r="A4684" s="89" t="s">
        <v>76</v>
      </c>
      <c r="B4684" s="89" t="s">
        <v>617</v>
      </c>
      <c r="C4684" s="89">
        <v>378462</v>
      </c>
      <c r="D4684" s="89" t="s">
        <v>665</v>
      </c>
    </row>
    <row r="4685" spans="1:4" x14ac:dyDescent="0.25">
      <c r="A4685" s="89" t="s">
        <v>76</v>
      </c>
      <c r="B4685" s="89" t="s">
        <v>617</v>
      </c>
      <c r="C4685" s="89">
        <v>390091</v>
      </c>
      <c r="D4685" s="89" t="s">
        <v>665</v>
      </c>
    </row>
    <row r="4686" spans="1:4" x14ac:dyDescent="0.25">
      <c r="A4686" s="89" t="s">
        <v>76</v>
      </c>
      <c r="B4686" s="89" t="s">
        <v>617</v>
      </c>
      <c r="C4686" s="89">
        <v>593802</v>
      </c>
      <c r="D4686" s="89" t="s">
        <v>666</v>
      </c>
    </row>
    <row r="4687" spans="1:4" x14ac:dyDescent="0.25">
      <c r="A4687" s="89" t="s">
        <v>76</v>
      </c>
      <c r="B4687" s="89" t="s">
        <v>617</v>
      </c>
      <c r="C4687" s="89">
        <v>3899417</v>
      </c>
      <c r="D4687" s="89" t="s">
        <v>664</v>
      </c>
    </row>
    <row r="4688" spans="1:4" x14ac:dyDescent="0.25">
      <c r="A4688" s="89" t="s">
        <v>76</v>
      </c>
      <c r="B4688" s="89" t="s">
        <v>617</v>
      </c>
      <c r="C4688" s="89">
        <v>2432221</v>
      </c>
      <c r="D4688" s="89" t="s">
        <v>663</v>
      </c>
    </row>
    <row r="4689" spans="1:4" x14ac:dyDescent="0.25">
      <c r="A4689" s="89" t="s">
        <v>76</v>
      </c>
      <c r="B4689" s="89" t="s">
        <v>617</v>
      </c>
      <c r="C4689" s="89">
        <v>2642633</v>
      </c>
      <c r="D4689" s="89" t="s">
        <v>663</v>
      </c>
    </row>
    <row r="4690" spans="1:4" x14ac:dyDescent="0.25">
      <c r="A4690" s="89" t="s">
        <v>76</v>
      </c>
      <c r="B4690" s="89" t="s">
        <v>617</v>
      </c>
      <c r="C4690" s="89">
        <v>100000</v>
      </c>
      <c r="D4690" s="89" t="s">
        <v>666</v>
      </c>
    </row>
    <row r="4691" spans="1:4" x14ac:dyDescent="0.25">
      <c r="A4691" s="89" t="s">
        <v>76</v>
      </c>
      <c r="B4691" s="89" t="s">
        <v>617</v>
      </c>
      <c r="C4691" s="89">
        <v>35985693</v>
      </c>
      <c r="D4691" s="89" t="s">
        <v>664</v>
      </c>
    </row>
    <row r="4692" spans="1:4" x14ac:dyDescent="0.25">
      <c r="A4692" s="89" t="s">
        <v>76</v>
      </c>
      <c r="B4692" s="89" t="s">
        <v>617</v>
      </c>
      <c r="C4692" s="89">
        <v>22134917</v>
      </c>
      <c r="D4692" s="89" t="s">
        <v>663</v>
      </c>
    </row>
    <row r="4693" spans="1:4" x14ac:dyDescent="0.25">
      <c r="A4693" s="89" t="s">
        <v>76</v>
      </c>
      <c r="B4693" s="89" t="s">
        <v>617</v>
      </c>
      <c r="C4693" s="89">
        <v>257788</v>
      </c>
      <c r="D4693" s="89" t="s">
        <v>666</v>
      </c>
    </row>
    <row r="4694" spans="1:4" x14ac:dyDescent="0.25">
      <c r="A4694" s="89" t="s">
        <v>76</v>
      </c>
      <c r="B4694" s="89" t="s">
        <v>617</v>
      </c>
      <c r="C4694" s="89">
        <v>2587199</v>
      </c>
      <c r="D4694" s="89" t="s">
        <v>664</v>
      </c>
    </row>
    <row r="4695" spans="1:4" x14ac:dyDescent="0.25">
      <c r="A4695" s="89" t="s">
        <v>76</v>
      </c>
      <c r="B4695" s="89" t="s">
        <v>617</v>
      </c>
      <c r="C4695" s="89">
        <v>5749229</v>
      </c>
      <c r="D4695" s="89" t="s">
        <v>665</v>
      </c>
    </row>
    <row r="4696" spans="1:4" x14ac:dyDescent="0.25">
      <c r="A4696" s="89" t="s">
        <v>76</v>
      </c>
      <c r="B4696" s="89" t="s">
        <v>617</v>
      </c>
      <c r="C4696" s="89">
        <v>1321138</v>
      </c>
      <c r="D4696" s="89" t="s">
        <v>670</v>
      </c>
    </row>
    <row r="4697" spans="1:4" x14ac:dyDescent="0.25">
      <c r="A4697" s="89" t="s">
        <v>76</v>
      </c>
      <c r="B4697" s="89" t="s">
        <v>617</v>
      </c>
      <c r="C4697" s="89">
        <v>3175892.66</v>
      </c>
      <c r="D4697" s="89" t="s">
        <v>663</v>
      </c>
    </row>
    <row r="4698" spans="1:4" x14ac:dyDescent="0.25">
      <c r="A4698" s="89" t="s">
        <v>76</v>
      </c>
      <c r="B4698" s="89" t="s">
        <v>617</v>
      </c>
      <c r="C4698" s="89">
        <v>5471778</v>
      </c>
      <c r="D4698" s="89" t="s">
        <v>670</v>
      </c>
    </row>
    <row r="4699" spans="1:4" x14ac:dyDescent="0.25">
      <c r="A4699" s="89" t="s">
        <v>76</v>
      </c>
      <c r="B4699" s="89" t="s">
        <v>617</v>
      </c>
      <c r="C4699" s="89">
        <v>2139361.69</v>
      </c>
      <c r="D4699" s="89" t="s">
        <v>670</v>
      </c>
    </row>
    <row r="4700" spans="1:4" x14ac:dyDescent="0.25">
      <c r="A4700" s="89" t="s">
        <v>76</v>
      </c>
      <c r="B4700" s="89" t="s">
        <v>617</v>
      </c>
      <c r="C4700" s="89">
        <v>11895648</v>
      </c>
      <c r="D4700" s="89" t="s">
        <v>664</v>
      </c>
    </row>
    <row r="4701" spans="1:4" x14ac:dyDescent="0.25">
      <c r="A4701" s="89" t="s">
        <v>76</v>
      </c>
      <c r="B4701" s="89" t="s">
        <v>617</v>
      </c>
      <c r="C4701" s="89">
        <v>4549121</v>
      </c>
      <c r="D4701" s="89" t="s">
        <v>664</v>
      </c>
    </row>
    <row r="4702" spans="1:4" x14ac:dyDescent="0.25">
      <c r="A4702" s="89" t="s">
        <v>76</v>
      </c>
      <c r="B4702" s="89" t="s">
        <v>617</v>
      </c>
      <c r="C4702" s="89">
        <v>5672685</v>
      </c>
      <c r="D4702" s="89" t="s">
        <v>665</v>
      </c>
    </row>
    <row r="4703" spans="1:4" x14ac:dyDescent="0.25">
      <c r="A4703" s="89" t="s">
        <v>76</v>
      </c>
      <c r="B4703" s="89" t="s">
        <v>617</v>
      </c>
      <c r="C4703" s="89">
        <v>1420601</v>
      </c>
      <c r="D4703" s="89" t="s">
        <v>666</v>
      </c>
    </row>
    <row r="4704" spans="1:4" x14ac:dyDescent="0.25">
      <c r="A4704" s="89" t="s">
        <v>76</v>
      </c>
      <c r="B4704" s="89" t="s">
        <v>617</v>
      </c>
      <c r="C4704" s="89">
        <v>1485965</v>
      </c>
      <c r="D4704" s="89" t="s">
        <v>666</v>
      </c>
    </row>
    <row r="4705" spans="1:4" x14ac:dyDescent="0.25">
      <c r="A4705" s="89" t="s">
        <v>76</v>
      </c>
      <c r="B4705" s="89" t="s">
        <v>617</v>
      </c>
      <c r="C4705" s="89">
        <v>5058769</v>
      </c>
      <c r="D4705" s="89" t="s">
        <v>663</v>
      </c>
    </row>
    <row r="4706" spans="1:4" x14ac:dyDescent="0.25">
      <c r="A4706" s="89" t="s">
        <v>76</v>
      </c>
      <c r="B4706" s="89" t="s">
        <v>617</v>
      </c>
      <c r="C4706" s="89">
        <v>7428843</v>
      </c>
      <c r="D4706" s="89" t="s">
        <v>664</v>
      </c>
    </row>
    <row r="4707" spans="1:4" x14ac:dyDescent="0.25">
      <c r="A4707" s="89" t="s">
        <v>76</v>
      </c>
      <c r="B4707" s="89" t="s">
        <v>617</v>
      </c>
      <c r="C4707" s="89">
        <v>790854</v>
      </c>
      <c r="D4707" s="89" t="s">
        <v>670</v>
      </c>
    </row>
    <row r="4708" spans="1:4" x14ac:dyDescent="0.25">
      <c r="A4708" s="89" t="s">
        <v>76</v>
      </c>
      <c r="B4708" s="89" t="s">
        <v>617</v>
      </c>
      <c r="C4708" s="89">
        <v>952392</v>
      </c>
      <c r="D4708" s="89" t="s">
        <v>666</v>
      </c>
    </row>
    <row r="4709" spans="1:4" x14ac:dyDescent="0.25">
      <c r="A4709" s="89" t="s">
        <v>76</v>
      </c>
      <c r="B4709" s="89" t="s">
        <v>617</v>
      </c>
      <c r="C4709" s="89">
        <v>8251647</v>
      </c>
      <c r="D4709" s="89" t="s">
        <v>664</v>
      </c>
    </row>
    <row r="4710" spans="1:4" x14ac:dyDescent="0.25">
      <c r="A4710" s="89" t="s">
        <v>76</v>
      </c>
      <c r="B4710" s="89" t="s">
        <v>617</v>
      </c>
      <c r="C4710" s="89">
        <v>7720129.5</v>
      </c>
      <c r="D4710" s="89" t="s">
        <v>663</v>
      </c>
    </row>
    <row r="4711" spans="1:4" x14ac:dyDescent="0.25">
      <c r="A4711" s="89" t="s">
        <v>76</v>
      </c>
      <c r="B4711" s="89" t="s">
        <v>617</v>
      </c>
      <c r="C4711" s="89">
        <v>2015449</v>
      </c>
      <c r="D4711" s="89" t="s">
        <v>666</v>
      </c>
    </row>
    <row r="4712" spans="1:4" x14ac:dyDescent="0.25">
      <c r="A4712" s="89" t="s">
        <v>76</v>
      </c>
      <c r="B4712" s="89" t="s">
        <v>617</v>
      </c>
      <c r="C4712" s="89">
        <v>7954554</v>
      </c>
      <c r="D4712" s="89" t="s">
        <v>663</v>
      </c>
    </row>
    <row r="4713" spans="1:4" x14ac:dyDescent="0.25">
      <c r="A4713" s="89" t="s">
        <v>76</v>
      </c>
      <c r="B4713" s="89" t="s">
        <v>617</v>
      </c>
      <c r="C4713" s="89">
        <v>1150418</v>
      </c>
      <c r="D4713" s="89" t="s">
        <v>666</v>
      </c>
    </row>
    <row r="4714" spans="1:4" x14ac:dyDescent="0.25">
      <c r="A4714" s="89" t="s">
        <v>76</v>
      </c>
      <c r="B4714" s="89" t="s">
        <v>617</v>
      </c>
      <c r="C4714" s="89">
        <v>15607144</v>
      </c>
      <c r="D4714" s="89" t="s">
        <v>663</v>
      </c>
    </row>
    <row r="4715" spans="1:4" x14ac:dyDescent="0.25">
      <c r="A4715" s="89" t="s">
        <v>76</v>
      </c>
      <c r="B4715" s="89" t="s">
        <v>617</v>
      </c>
      <c r="C4715" s="89">
        <v>27590463</v>
      </c>
      <c r="D4715" s="89" t="s">
        <v>663</v>
      </c>
    </row>
    <row r="4716" spans="1:4" x14ac:dyDescent="0.25">
      <c r="A4716" s="89" t="s">
        <v>76</v>
      </c>
      <c r="B4716" s="89" t="s">
        <v>617</v>
      </c>
      <c r="C4716" s="89">
        <v>81818</v>
      </c>
      <c r="D4716" s="89" t="s">
        <v>664</v>
      </c>
    </row>
    <row r="4717" spans="1:4" x14ac:dyDescent="0.25">
      <c r="A4717" s="89" t="s">
        <v>76</v>
      </c>
      <c r="B4717" s="89" t="s">
        <v>617</v>
      </c>
      <c r="C4717" s="89">
        <v>1309775</v>
      </c>
      <c r="D4717" s="89" t="s">
        <v>664</v>
      </c>
    </row>
    <row r="4718" spans="1:4" x14ac:dyDescent="0.25">
      <c r="A4718" s="89" t="s">
        <v>76</v>
      </c>
      <c r="B4718" s="89" t="s">
        <v>617</v>
      </c>
      <c r="C4718" s="89">
        <v>1187047</v>
      </c>
      <c r="D4718" s="89" t="s">
        <v>666</v>
      </c>
    </row>
    <row r="4719" spans="1:4" x14ac:dyDescent="0.25">
      <c r="A4719" s="89" t="s">
        <v>76</v>
      </c>
      <c r="B4719" s="89" t="s">
        <v>617</v>
      </c>
      <c r="C4719" s="89">
        <v>451209</v>
      </c>
      <c r="D4719" s="89" t="s">
        <v>665</v>
      </c>
    </row>
    <row r="4720" spans="1:4" x14ac:dyDescent="0.25">
      <c r="A4720" s="89" t="s">
        <v>76</v>
      </c>
      <c r="B4720" s="89" t="s">
        <v>617</v>
      </c>
      <c r="C4720" s="89">
        <v>85046640</v>
      </c>
      <c r="D4720" s="89" t="s">
        <v>663</v>
      </c>
    </row>
    <row r="4721" spans="1:4" x14ac:dyDescent="0.25">
      <c r="A4721" s="89" t="s">
        <v>76</v>
      </c>
      <c r="B4721" s="89" t="s">
        <v>617</v>
      </c>
      <c r="C4721" s="89">
        <v>1683821</v>
      </c>
      <c r="D4721" s="89" t="s">
        <v>663</v>
      </c>
    </row>
    <row r="4722" spans="1:4" x14ac:dyDescent="0.25">
      <c r="A4722" s="89" t="s">
        <v>76</v>
      </c>
      <c r="B4722" s="89" t="s">
        <v>617</v>
      </c>
      <c r="C4722" s="89">
        <v>7129332</v>
      </c>
      <c r="D4722" s="89" t="s">
        <v>664</v>
      </c>
    </row>
    <row r="4723" spans="1:4" x14ac:dyDescent="0.25">
      <c r="A4723" s="89" t="s">
        <v>76</v>
      </c>
      <c r="B4723" s="89" t="s">
        <v>617</v>
      </c>
      <c r="C4723" s="89">
        <v>2279331</v>
      </c>
      <c r="D4723" s="89" t="s">
        <v>664</v>
      </c>
    </row>
    <row r="4724" spans="1:4" x14ac:dyDescent="0.25">
      <c r="A4724" s="89" t="s">
        <v>76</v>
      </c>
      <c r="B4724" s="89" t="s">
        <v>617</v>
      </c>
      <c r="C4724" s="89">
        <v>14572884</v>
      </c>
      <c r="D4724" s="89" t="s">
        <v>666</v>
      </c>
    </row>
    <row r="4725" spans="1:4" x14ac:dyDescent="0.25">
      <c r="A4725" s="89" t="s">
        <v>76</v>
      </c>
      <c r="B4725" s="89" t="s">
        <v>617</v>
      </c>
      <c r="C4725" s="89">
        <v>118490</v>
      </c>
      <c r="D4725" s="89" t="s">
        <v>665</v>
      </c>
    </row>
    <row r="4726" spans="1:4" x14ac:dyDescent="0.25">
      <c r="A4726" s="89" t="s">
        <v>76</v>
      </c>
      <c r="B4726" s="89" t="s">
        <v>617</v>
      </c>
      <c r="C4726" s="89">
        <v>100000</v>
      </c>
      <c r="D4726" s="89" t="s">
        <v>666</v>
      </c>
    </row>
    <row r="4727" spans="1:4" x14ac:dyDescent="0.25">
      <c r="A4727" s="89" t="s">
        <v>76</v>
      </c>
      <c r="B4727" s="89" t="s">
        <v>617</v>
      </c>
      <c r="C4727" s="89">
        <v>4023886</v>
      </c>
      <c r="D4727" s="89" t="s">
        <v>664</v>
      </c>
    </row>
    <row r="4728" spans="1:4" x14ac:dyDescent="0.25">
      <c r="A4728" s="89" t="s">
        <v>76</v>
      </c>
      <c r="B4728" s="89" t="s">
        <v>617</v>
      </c>
      <c r="C4728" s="89">
        <v>1566045</v>
      </c>
      <c r="D4728" s="89" t="s">
        <v>666</v>
      </c>
    </row>
    <row r="4729" spans="1:4" x14ac:dyDescent="0.25">
      <c r="A4729" s="89" t="s">
        <v>76</v>
      </c>
      <c r="B4729" s="89" t="s">
        <v>617</v>
      </c>
      <c r="C4729" s="89">
        <v>-1683821</v>
      </c>
      <c r="D4729" s="89" t="s">
        <v>663</v>
      </c>
    </row>
    <row r="4730" spans="1:4" x14ac:dyDescent="0.25">
      <c r="A4730" s="89" t="s">
        <v>76</v>
      </c>
      <c r="B4730" s="89" t="s">
        <v>617</v>
      </c>
      <c r="C4730" s="89">
        <v>1683821</v>
      </c>
      <c r="D4730" s="89" t="s">
        <v>663</v>
      </c>
    </row>
    <row r="4731" spans="1:4" x14ac:dyDescent="0.25">
      <c r="A4731" s="89" t="s">
        <v>76</v>
      </c>
      <c r="B4731" s="89" t="s">
        <v>617</v>
      </c>
      <c r="C4731" s="89">
        <v>1891551</v>
      </c>
      <c r="D4731" s="89" t="s">
        <v>663</v>
      </c>
    </row>
    <row r="4732" spans="1:4" x14ac:dyDescent="0.25">
      <c r="A4732" s="89" t="s">
        <v>108</v>
      </c>
      <c r="B4732" s="89" t="s">
        <v>616</v>
      </c>
      <c r="C4732" s="89">
        <v>385430</v>
      </c>
      <c r="D4732" s="89" t="s">
        <v>664</v>
      </c>
    </row>
    <row r="4733" spans="1:4" x14ac:dyDescent="0.25">
      <c r="A4733" s="89" t="s">
        <v>108</v>
      </c>
      <c r="B4733" s="89" t="s">
        <v>616</v>
      </c>
      <c r="C4733" s="89">
        <v>231230</v>
      </c>
      <c r="D4733" s="89" t="s">
        <v>664</v>
      </c>
    </row>
    <row r="4734" spans="1:4" x14ac:dyDescent="0.25">
      <c r="A4734" s="89" t="s">
        <v>108</v>
      </c>
      <c r="B4734" s="89" t="s">
        <v>616</v>
      </c>
      <c r="C4734" s="89">
        <v>177719.44</v>
      </c>
      <c r="D4734" s="89" t="s">
        <v>664</v>
      </c>
    </row>
    <row r="4735" spans="1:4" x14ac:dyDescent="0.25">
      <c r="A4735" s="89" t="s">
        <v>108</v>
      </c>
      <c r="B4735" s="89" t="s">
        <v>616</v>
      </c>
      <c r="C4735" s="89">
        <v>210480</v>
      </c>
      <c r="D4735" s="89" t="s">
        <v>663</v>
      </c>
    </row>
    <row r="4736" spans="1:4" x14ac:dyDescent="0.25">
      <c r="A4736" s="89" t="s">
        <v>108</v>
      </c>
      <c r="B4736" s="89" t="s">
        <v>616</v>
      </c>
      <c r="C4736" s="89">
        <v>235287</v>
      </c>
      <c r="D4736" s="89" t="s">
        <v>664</v>
      </c>
    </row>
    <row r="4737" spans="1:4" x14ac:dyDescent="0.25">
      <c r="A4737" s="89" t="s">
        <v>108</v>
      </c>
      <c r="B4737" s="89" t="s">
        <v>616</v>
      </c>
      <c r="C4737" s="89">
        <v>75856.89</v>
      </c>
      <c r="D4737" s="89" t="s">
        <v>664</v>
      </c>
    </row>
    <row r="4738" spans="1:4" x14ac:dyDescent="0.25">
      <c r="A4738" s="89" t="s">
        <v>108</v>
      </c>
      <c r="B4738" s="89" t="s">
        <v>616</v>
      </c>
      <c r="C4738" s="89">
        <v>209087.2</v>
      </c>
      <c r="D4738" s="89" t="s">
        <v>663</v>
      </c>
    </row>
    <row r="4739" spans="1:4" x14ac:dyDescent="0.25">
      <c r="A4739" s="89" t="s">
        <v>108</v>
      </c>
      <c r="B4739" s="89" t="s">
        <v>616</v>
      </c>
      <c r="C4739" s="89">
        <v>35100</v>
      </c>
      <c r="D4739" s="89" t="s">
        <v>663</v>
      </c>
    </row>
    <row r="4740" spans="1:4" x14ac:dyDescent="0.25">
      <c r="A4740" s="89" t="s">
        <v>108</v>
      </c>
      <c r="B4740" s="89" t="s">
        <v>616</v>
      </c>
      <c r="C4740" s="89">
        <v>187143.19</v>
      </c>
      <c r="D4740" s="89" t="s">
        <v>664</v>
      </c>
    </row>
    <row r="4741" spans="1:4" x14ac:dyDescent="0.25">
      <c r="A4741" s="89" t="s">
        <v>108</v>
      </c>
      <c r="B4741" s="89" t="s">
        <v>616</v>
      </c>
      <c r="C4741" s="89">
        <v>41024.730000000003</v>
      </c>
      <c r="D4741" s="89" t="s">
        <v>663</v>
      </c>
    </row>
    <row r="4742" spans="1:4" x14ac:dyDescent="0.25">
      <c r="A4742" s="89" t="s">
        <v>108</v>
      </c>
      <c r="B4742" s="89" t="s">
        <v>616</v>
      </c>
      <c r="C4742" s="89">
        <v>104085</v>
      </c>
      <c r="D4742" s="89" t="s">
        <v>663</v>
      </c>
    </row>
    <row r="4743" spans="1:4" x14ac:dyDescent="0.25">
      <c r="A4743" s="89" t="s">
        <v>108</v>
      </c>
      <c r="B4743" s="89" t="s">
        <v>616</v>
      </c>
      <c r="C4743" s="89">
        <v>386586</v>
      </c>
      <c r="D4743" s="89" t="s">
        <v>664</v>
      </c>
    </row>
    <row r="4744" spans="1:4" x14ac:dyDescent="0.25">
      <c r="A4744" s="89" t="s">
        <v>108</v>
      </c>
      <c r="B4744" s="89" t="s">
        <v>616</v>
      </c>
      <c r="C4744" s="89">
        <v>673514</v>
      </c>
      <c r="D4744" s="89" t="s">
        <v>664</v>
      </c>
    </row>
    <row r="4745" spans="1:4" x14ac:dyDescent="0.25">
      <c r="A4745" s="89" t="s">
        <v>108</v>
      </c>
      <c r="B4745" s="89" t="s">
        <v>616</v>
      </c>
      <c r="C4745" s="89">
        <v>99782</v>
      </c>
      <c r="D4745" s="89" t="s">
        <v>664</v>
      </c>
    </row>
    <row r="4746" spans="1:4" x14ac:dyDescent="0.25">
      <c r="A4746" s="89" t="s">
        <v>108</v>
      </c>
      <c r="B4746" s="89" t="s">
        <v>616</v>
      </c>
      <c r="C4746" s="89">
        <v>45232.46</v>
      </c>
      <c r="D4746" s="89" t="s">
        <v>664</v>
      </c>
    </row>
    <row r="4747" spans="1:4" x14ac:dyDescent="0.25">
      <c r="A4747" s="89" t="s">
        <v>108</v>
      </c>
      <c r="B4747" s="89" t="s">
        <v>616</v>
      </c>
      <c r="C4747" s="89">
        <v>39920</v>
      </c>
      <c r="D4747" s="89" t="s">
        <v>664</v>
      </c>
    </row>
    <row r="4748" spans="1:4" x14ac:dyDescent="0.25">
      <c r="A4748" s="89" t="s">
        <v>108</v>
      </c>
      <c r="B4748" s="89" t="s">
        <v>616</v>
      </c>
      <c r="C4748" s="89">
        <v>906330.65</v>
      </c>
      <c r="D4748" s="89" t="s">
        <v>664</v>
      </c>
    </row>
    <row r="4749" spans="1:4" x14ac:dyDescent="0.25">
      <c r="A4749" s="89" t="s">
        <v>108</v>
      </c>
      <c r="B4749" s="89" t="s">
        <v>616</v>
      </c>
      <c r="C4749" s="89">
        <v>46071</v>
      </c>
      <c r="D4749" s="89" t="s">
        <v>663</v>
      </c>
    </row>
    <row r="4750" spans="1:4" x14ac:dyDescent="0.25">
      <c r="A4750" s="89" t="s">
        <v>108</v>
      </c>
      <c r="B4750" s="89" t="s">
        <v>616</v>
      </c>
      <c r="C4750" s="89">
        <v>172909</v>
      </c>
      <c r="D4750" s="89" t="s">
        <v>664</v>
      </c>
    </row>
    <row r="4751" spans="1:4" x14ac:dyDescent="0.25">
      <c r="A4751" s="89" t="s">
        <v>108</v>
      </c>
      <c r="B4751" s="89" t="s">
        <v>616</v>
      </c>
      <c r="C4751" s="89">
        <v>38453.269999999997</v>
      </c>
      <c r="D4751" s="89" t="s">
        <v>663</v>
      </c>
    </row>
    <row r="4752" spans="1:4" x14ac:dyDescent="0.25">
      <c r="A4752" s="89" t="s">
        <v>108</v>
      </c>
      <c r="B4752" s="89" t="s">
        <v>616</v>
      </c>
      <c r="C4752" s="89">
        <v>152563.10999999999</v>
      </c>
      <c r="D4752" s="89" t="s">
        <v>663</v>
      </c>
    </row>
    <row r="4753" spans="1:4" x14ac:dyDescent="0.25">
      <c r="A4753" s="89" t="s">
        <v>108</v>
      </c>
      <c r="B4753" s="89" t="s">
        <v>616</v>
      </c>
      <c r="C4753" s="89">
        <v>1756733</v>
      </c>
      <c r="D4753" s="89" t="s">
        <v>664</v>
      </c>
    </row>
    <row r="4754" spans="1:4" x14ac:dyDescent="0.25">
      <c r="A4754" s="89" t="s">
        <v>108</v>
      </c>
      <c r="B4754" s="89" t="s">
        <v>616</v>
      </c>
      <c r="C4754" s="89">
        <v>431990</v>
      </c>
      <c r="D4754" s="89" t="s">
        <v>666</v>
      </c>
    </row>
    <row r="4755" spans="1:4" x14ac:dyDescent="0.25">
      <c r="A4755" s="89" t="s">
        <v>108</v>
      </c>
      <c r="B4755" s="89" t="s">
        <v>616</v>
      </c>
      <c r="C4755" s="89">
        <v>17851</v>
      </c>
      <c r="D4755" s="89" t="s">
        <v>663</v>
      </c>
    </row>
    <row r="4756" spans="1:4" x14ac:dyDescent="0.25">
      <c r="A4756" s="89" t="s">
        <v>108</v>
      </c>
      <c r="B4756" s="89" t="s">
        <v>616</v>
      </c>
      <c r="C4756" s="89">
        <v>307996.65999999997</v>
      </c>
      <c r="D4756" s="89" t="s">
        <v>664</v>
      </c>
    </row>
    <row r="4757" spans="1:4" x14ac:dyDescent="0.25">
      <c r="A4757" s="89" t="s">
        <v>108</v>
      </c>
      <c r="B4757" s="89" t="s">
        <v>616</v>
      </c>
      <c r="C4757" s="89">
        <v>108802</v>
      </c>
      <c r="D4757" s="89" t="s">
        <v>664</v>
      </c>
    </row>
    <row r="4758" spans="1:4" x14ac:dyDescent="0.25">
      <c r="A4758" s="89" t="s">
        <v>108</v>
      </c>
      <c r="B4758" s="89" t="s">
        <v>616</v>
      </c>
      <c r="C4758" s="89">
        <v>50573.15</v>
      </c>
      <c r="D4758" s="89" t="s">
        <v>664</v>
      </c>
    </row>
    <row r="4759" spans="1:4" x14ac:dyDescent="0.25">
      <c r="A4759" s="89" t="s">
        <v>108</v>
      </c>
      <c r="B4759" s="89" t="s">
        <v>616</v>
      </c>
      <c r="C4759" s="89">
        <v>421721</v>
      </c>
      <c r="D4759" s="89" t="s">
        <v>663</v>
      </c>
    </row>
    <row r="4760" spans="1:4" x14ac:dyDescent="0.25">
      <c r="A4760" s="89" t="s">
        <v>108</v>
      </c>
      <c r="B4760" s="89" t="s">
        <v>616</v>
      </c>
      <c r="C4760" s="89">
        <v>102565</v>
      </c>
      <c r="D4760" s="89" t="s">
        <v>666</v>
      </c>
    </row>
    <row r="4761" spans="1:4" x14ac:dyDescent="0.25">
      <c r="A4761" s="89" t="s">
        <v>23</v>
      </c>
      <c r="B4761" s="89" t="s">
        <v>616</v>
      </c>
      <c r="C4761" s="89">
        <v>7268737</v>
      </c>
      <c r="D4761" s="89" t="s">
        <v>664</v>
      </c>
    </row>
    <row r="4762" spans="1:4" x14ac:dyDescent="0.25">
      <c r="A4762" s="89" t="s">
        <v>23</v>
      </c>
      <c r="B4762" s="89" t="s">
        <v>616</v>
      </c>
      <c r="C4762" s="89">
        <v>871349</v>
      </c>
      <c r="D4762" s="89" t="s">
        <v>663</v>
      </c>
    </row>
    <row r="4763" spans="1:4" x14ac:dyDescent="0.25">
      <c r="A4763" s="89" t="s">
        <v>23</v>
      </c>
      <c r="B4763" s="89" t="s">
        <v>616</v>
      </c>
      <c r="C4763" s="89">
        <v>822022</v>
      </c>
      <c r="D4763" s="89" t="s">
        <v>663</v>
      </c>
    </row>
    <row r="4764" spans="1:4" x14ac:dyDescent="0.25">
      <c r="A4764" s="89" t="s">
        <v>23</v>
      </c>
      <c r="B4764" s="89" t="s">
        <v>616</v>
      </c>
      <c r="C4764" s="89">
        <v>1144515</v>
      </c>
      <c r="D4764" s="89" t="s">
        <v>664</v>
      </c>
    </row>
    <row r="4765" spans="1:4" x14ac:dyDescent="0.25">
      <c r="A4765" s="89" t="s">
        <v>23</v>
      </c>
      <c r="B4765" s="89" t="s">
        <v>616</v>
      </c>
      <c r="C4765" s="89">
        <v>1280912</v>
      </c>
      <c r="D4765" s="89" t="s">
        <v>663</v>
      </c>
    </row>
    <row r="4766" spans="1:4" x14ac:dyDescent="0.25">
      <c r="A4766" s="89" t="s">
        <v>23</v>
      </c>
      <c r="B4766" s="89" t="s">
        <v>616</v>
      </c>
      <c r="C4766" s="89">
        <v>1710002</v>
      </c>
      <c r="D4766" s="89" t="s">
        <v>664</v>
      </c>
    </row>
    <row r="4767" spans="1:4" x14ac:dyDescent="0.25">
      <c r="A4767" s="89" t="s">
        <v>23</v>
      </c>
      <c r="B4767" s="89" t="s">
        <v>616</v>
      </c>
      <c r="C4767" s="89">
        <v>465998</v>
      </c>
      <c r="D4767" s="89" t="s">
        <v>663</v>
      </c>
    </row>
    <row r="4768" spans="1:4" x14ac:dyDescent="0.25">
      <c r="A4768" s="89" t="s">
        <v>23</v>
      </c>
      <c r="B4768" s="89" t="s">
        <v>616</v>
      </c>
      <c r="C4768" s="89">
        <v>999974</v>
      </c>
      <c r="D4768" s="89" t="s">
        <v>664</v>
      </c>
    </row>
    <row r="4769" spans="1:4" x14ac:dyDescent="0.25">
      <c r="A4769" s="89" t="s">
        <v>23</v>
      </c>
      <c r="B4769" s="89" t="s">
        <v>616</v>
      </c>
      <c r="C4769" s="89">
        <v>277400.78000000003</v>
      </c>
      <c r="D4769" s="89" t="s">
        <v>663</v>
      </c>
    </row>
    <row r="4770" spans="1:4" x14ac:dyDescent="0.25">
      <c r="A4770" s="89" t="s">
        <v>23</v>
      </c>
      <c r="B4770" s="89" t="s">
        <v>616</v>
      </c>
      <c r="C4770" s="89">
        <v>1157692.75</v>
      </c>
      <c r="D4770" s="89" t="s">
        <v>663</v>
      </c>
    </row>
    <row r="4771" spans="1:4" x14ac:dyDescent="0.25">
      <c r="A4771" s="89" t="s">
        <v>23</v>
      </c>
      <c r="B4771" s="89" t="s">
        <v>616</v>
      </c>
      <c r="C4771" s="89">
        <v>313765</v>
      </c>
      <c r="D4771" s="89" t="s">
        <v>663</v>
      </c>
    </row>
    <row r="4772" spans="1:4" x14ac:dyDescent="0.25">
      <c r="A4772" s="89" t="s">
        <v>23</v>
      </c>
      <c r="B4772" s="89" t="s">
        <v>616</v>
      </c>
      <c r="C4772" s="89">
        <v>1063231</v>
      </c>
      <c r="D4772" s="89" t="s">
        <v>664</v>
      </c>
    </row>
    <row r="4773" spans="1:4" x14ac:dyDescent="0.25">
      <c r="A4773" s="89" t="s">
        <v>23</v>
      </c>
      <c r="B4773" s="89" t="s">
        <v>616</v>
      </c>
      <c r="C4773" s="89">
        <v>182326</v>
      </c>
      <c r="D4773" s="89" t="s">
        <v>663</v>
      </c>
    </row>
    <row r="4774" spans="1:4" x14ac:dyDescent="0.25">
      <c r="A4774" s="89" t="s">
        <v>23</v>
      </c>
      <c r="B4774" s="89" t="s">
        <v>616</v>
      </c>
      <c r="C4774" s="89">
        <v>176833.67</v>
      </c>
      <c r="D4774" s="89" t="s">
        <v>666</v>
      </c>
    </row>
    <row r="4775" spans="1:4" x14ac:dyDescent="0.25">
      <c r="A4775" s="89" t="s">
        <v>23</v>
      </c>
      <c r="B4775" s="89" t="s">
        <v>616</v>
      </c>
      <c r="C4775" s="89">
        <v>3189503.3</v>
      </c>
      <c r="D4775" s="89" t="s">
        <v>663</v>
      </c>
    </row>
    <row r="4776" spans="1:4" x14ac:dyDescent="0.25">
      <c r="A4776" s="89" t="s">
        <v>23</v>
      </c>
      <c r="B4776" s="89" t="s">
        <v>616</v>
      </c>
      <c r="C4776" s="89">
        <v>554367</v>
      </c>
      <c r="D4776" s="89" t="s">
        <v>664</v>
      </c>
    </row>
    <row r="4777" spans="1:4" x14ac:dyDescent="0.25">
      <c r="A4777" s="89" t="s">
        <v>23</v>
      </c>
      <c r="B4777" s="89" t="s">
        <v>616</v>
      </c>
      <c r="C4777" s="89">
        <v>7473585.9000000004</v>
      </c>
      <c r="D4777" s="89" t="s">
        <v>664</v>
      </c>
    </row>
    <row r="4778" spans="1:4" x14ac:dyDescent="0.25">
      <c r="A4778" s="89" t="s">
        <v>23</v>
      </c>
      <c r="B4778" s="89" t="s">
        <v>616</v>
      </c>
      <c r="C4778" s="89">
        <v>2566576.62</v>
      </c>
      <c r="D4778" s="89" t="s">
        <v>664</v>
      </c>
    </row>
    <row r="4779" spans="1:4" x14ac:dyDescent="0.25">
      <c r="A4779" s="89" t="s">
        <v>23</v>
      </c>
      <c r="B4779" s="89" t="s">
        <v>616</v>
      </c>
      <c r="C4779" s="89">
        <v>1333868.51</v>
      </c>
      <c r="D4779" s="89" t="s">
        <v>664</v>
      </c>
    </row>
    <row r="4780" spans="1:4" x14ac:dyDescent="0.25">
      <c r="A4780" s="89" t="s">
        <v>23</v>
      </c>
      <c r="B4780" s="89" t="s">
        <v>616</v>
      </c>
      <c r="C4780" s="89">
        <v>2172280.08</v>
      </c>
      <c r="D4780" s="89" t="s">
        <v>666</v>
      </c>
    </row>
    <row r="4781" spans="1:4" x14ac:dyDescent="0.25">
      <c r="A4781" s="89" t="s">
        <v>23</v>
      </c>
      <c r="B4781" s="89" t="s">
        <v>616</v>
      </c>
      <c r="C4781" s="89">
        <v>800101.1</v>
      </c>
      <c r="D4781" s="89" t="s">
        <v>663</v>
      </c>
    </row>
    <row r="4782" spans="1:4" x14ac:dyDescent="0.25">
      <c r="A4782" s="89" t="s">
        <v>23</v>
      </c>
      <c r="B4782" s="89" t="s">
        <v>616</v>
      </c>
      <c r="C4782" s="89">
        <v>969573</v>
      </c>
      <c r="D4782" s="89" t="s">
        <v>664</v>
      </c>
    </row>
    <row r="4783" spans="1:4" x14ac:dyDescent="0.25">
      <c r="A4783" s="89" t="s">
        <v>23</v>
      </c>
      <c r="B4783" s="89" t="s">
        <v>616</v>
      </c>
      <c r="C4783" s="89">
        <v>463758.17</v>
      </c>
      <c r="D4783" s="89" t="s">
        <v>663</v>
      </c>
    </row>
    <row r="4784" spans="1:4" x14ac:dyDescent="0.25">
      <c r="A4784" s="89" t="s">
        <v>23</v>
      </c>
      <c r="B4784" s="89" t="s">
        <v>616</v>
      </c>
      <c r="C4784" s="89">
        <v>293670.90000000002</v>
      </c>
      <c r="D4784" s="89" t="s">
        <v>666</v>
      </c>
    </row>
    <row r="4785" spans="1:4" x14ac:dyDescent="0.25">
      <c r="A4785" s="89" t="s">
        <v>23</v>
      </c>
      <c r="B4785" s="89" t="s">
        <v>616</v>
      </c>
      <c r="C4785" s="89">
        <v>1680523.15</v>
      </c>
      <c r="D4785" s="89" t="s">
        <v>663</v>
      </c>
    </row>
    <row r="4786" spans="1:4" x14ac:dyDescent="0.25">
      <c r="A4786" s="89" t="s">
        <v>23</v>
      </c>
      <c r="B4786" s="89" t="s">
        <v>616</v>
      </c>
      <c r="C4786" s="89">
        <v>1697145.51</v>
      </c>
      <c r="D4786" s="89" t="s">
        <v>663</v>
      </c>
    </row>
    <row r="4787" spans="1:4" x14ac:dyDescent="0.25">
      <c r="A4787" s="89" t="s">
        <v>23</v>
      </c>
      <c r="B4787" s="89" t="s">
        <v>616</v>
      </c>
      <c r="C4787" s="89">
        <v>2031337.05</v>
      </c>
      <c r="D4787" s="89" t="s">
        <v>664</v>
      </c>
    </row>
    <row r="4788" spans="1:4" x14ac:dyDescent="0.25">
      <c r="A4788" s="89" t="s">
        <v>23</v>
      </c>
      <c r="B4788" s="89" t="s">
        <v>616</v>
      </c>
      <c r="C4788" s="89">
        <v>1729471.79</v>
      </c>
      <c r="D4788" s="89" t="s">
        <v>664</v>
      </c>
    </row>
    <row r="4789" spans="1:4" x14ac:dyDescent="0.25">
      <c r="A4789" s="89" t="s">
        <v>23</v>
      </c>
      <c r="B4789" s="89" t="s">
        <v>616</v>
      </c>
      <c r="C4789" s="89">
        <v>-57552.28</v>
      </c>
      <c r="D4789" s="89" t="s">
        <v>663</v>
      </c>
    </row>
    <row r="4790" spans="1:4" x14ac:dyDescent="0.25">
      <c r="A4790" s="89" t="s">
        <v>23</v>
      </c>
      <c r="B4790" s="89" t="s">
        <v>616</v>
      </c>
      <c r="C4790" s="89">
        <v>-1439.99</v>
      </c>
      <c r="D4790" s="89" t="s">
        <v>663</v>
      </c>
    </row>
    <row r="4791" spans="1:4" x14ac:dyDescent="0.25">
      <c r="A4791" s="89" t="s">
        <v>23</v>
      </c>
      <c r="B4791" s="89" t="s">
        <v>616</v>
      </c>
      <c r="C4791" s="89">
        <v>1272383.6000000001</v>
      </c>
      <c r="D4791" s="89" t="s">
        <v>663</v>
      </c>
    </row>
    <row r="4792" spans="1:4" x14ac:dyDescent="0.25">
      <c r="A4792" s="89" t="s">
        <v>23</v>
      </c>
      <c r="B4792" s="89" t="s">
        <v>616</v>
      </c>
      <c r="C4792" s="89">
        <v>431795</v>
      </c>
      <c r="D4792" s="89" t="s">
        <v>663</v>
      </c>
    </row>
    <row r="4793" spans="1:4" x14ac:dyDescent="0.25">
      <c r="A4793" s="89" t="s">
        <v>23</v>
      </c>
      <c r="B4793" s="89" t="s">
        <v>616</v>
      </c>
      <c r="C4793" s="89">
        <v>273740</v>
      </c>
      <c r="D4793" s="89" t="s">
        <v>663</v>
      </c>
    </row>
    <row r="4794" spans="1:4" x14ac:dyDescent="0.25">
      <c r="A4794" s="89" t="s">
        <v>23</v>
      </c>
      <c r="B4794" s="89" t="s">
        <v>616</v>
      </c>
      <c r="C4794" s="89">
        <v>202010.27</v>
      </c>
      <c r="D4794" s="89" t="s">
        <v>663</v>
      </c>
    </row>
    <row r="4795" spans="1:4" x14ac:dyDescent="0.25">
      <c r="A4795" s="89" t="s">
        <v>23</v>
      </c>
      <c r="B4795" s="89" t="s">
        <v>616</v>
      </c>
      <c r="C4795" s="89">
        <v>42566</v>
      </c>
      <c r="D4795" s="89" t="s">
        <v>666</v>
      </c>
    </row>
    <row r="4796" spans="1:4" x14ac:dyDescent="0.25">
      <c r="A4796" s="89" t="s">
        <v>23</v>
      </c>
      <c r="B4796" s="89" t="s">
        <v>616</v>
      </c>
      <c r="C4796" s="89">
        <v>137450</v>
      </c>
      <c r="D4796" s="89" t="s">
        <v>664</v>
      </c>
    </row>
    <row r="4797" spans="1:4" x14ac:dyDescent="0.25">
      <c r="A4797" s="89" t="s">
        <v>23</v>
      </c>
      <c r="B4797" s="89" t="s">
        <v>616</v>
      </c>
      <c r="C4797" s="89">
        <v>339003</v>
      </c>
      <c r="D4797" s="89" t="s">
        <v>664</v>
      </c>
    </row>
    <row r="4798" spans="1:4" x14ac:dyDescent="0.25">
      <c r="A4798" s="89" t="s">
        <v>23</v>
      </c>
      <c r="B4798" s="89" t="s">
        <v>616</v>
      </c>
      <c r="C4798" s="89">
        <v>2382246.46</v>
      </c>
      <c r="D4798" s="89" t="s">
        <v>664</v>
      </c>
    </row>
    <row r="4799" spans="1:4" x14ac:dyDescent="0.25">
      <c r="A4799" s="89" t="s">
        <v>23</v>
      </c>
      <c r="B4799" s="89" t="s">
        <v>616</v>
      </c>
      <c r="C4799" s="89">
        <v>83781.66</v>
      </c>
      <c r="D4799" s="89" t="s">
        <v>666</v>
      </c>
    </row>
    <row r="4800" spans="1:4" x14ac:dyDescent="0.25">
      <c r="A4800" s="89" t="s">
        <v>23</v>
      </c>
      <c r="B4800" s="89" t="s">
        <v>616</v>
      </c>
      <c r="C4800" s="89">
        <v>1067691.32</v>
      </c>
      <c r="D4800" s="89" t="s">
        <v>664</v>
      </c>
    </row>
    <row r="4801" spans="1:4" x14ac:dyDescent="0.25">
      <c r="A4801" s="89" t="s">
        <v>23</v>
      </c>
      <c r="B4801" s="89" t="s">
        <v>616</v>
      </c>
      <c r="C4801" s="89">
        <v>1655324</v>
      </c>
      <c r="D4801" s="89" t="s">
        <v>664</v>
      </c>
    </row>
    <row r="4802" spans="1:4" x14ac:dyDescent="0.25">
      <c r="A4802" s="89" t="s">
        <v>23</v>
      </c>
      <c r="B4802" s="89" t="s">
        <v>616</v>
      </c>
      <c r="C4802" s="89">
        <v>293386</v>
      </c>
      <c r="D4802" s="89" t="s">
        <v>663</v>
      </c>
    </row>
    <row r="4803" spans="1:4" x14ac:dyDescent="0.25">
      <c r="A4803" s="89" t="s">
        <v>23</v>
      </c>
      <c r="B4803" s="89" t="s">
        <v>616</v>
      </c>
      <c r="C4803" s="89">
        <v>150000</v>
      </c>
      <c r="D4803" s="89" t="s">
        <v>664</v>
      </c>
    </row>
    <row r="4804" spans="1:4" x14ac:dyDescent="0.25">
      <c r="A4804" s="89" t="s">
        <v>23</v>
      </c>
      <c r="B4804" s="89" t="s">
        <v>616</v>
      </c>
      <c r="C4804" s="89">
        <v>2249473</v>
      </c>
      <c r="D4804" s="89" t="s">
        <v>663</v>
      </c>
    </row>
    <row r="4805" spans="1:4" x14ac:dyDescent="0.25">
      <c r="A4805" s="89" t="s">
        <v>23</v>
      </c>
      <c r="B4805" s="89" t="s">
        <v>616</v>
      </c>
      <c r="C4805" s="89">
        <v>1026770</v>
      </c>
      <c r="D4805" s="89" t="s">
        <v>664</v>
      </c>
    </row>
    <row r="4806" spans="1:4" x14ac:dyDescent="0.25">
      <c r="A4806" s="89" t="s">
        <v>23</v>
      </c>
      <c r="B4806" s="89" t="s">
        <v>616</v>
      </c>
      <c r="C4806" s="89">
        <v>624692</v>
      </c>
      <c r="D4806" s="89" t="s">
        <v>663</v>
      </c>
    </row>
    <row r="4807" spans="1:4" x14ac:dyDescent="0.25">
      <c r="A4807" s="89" t="s">
        <v>23</v>
      </c>
      <c r="B4807" s="89" t="s">
        <v>616</v>
      </c>
      <c r="C4807" s="89">
        <v>816754</v>
      </c>
      <c r="D4807" s="89" t="s">
        <v>663</v>
      </c>
    </row>
    <row r="4808" spans="1:4" x14ac:dyDescent="0.25">
      <c r="A4808" s="89" t="s">
        <v>23</v>
      </c>
      <c r="B4808" s="89" t="s">
        <v>616</v>
      </c>
      <c r="C4808" s="89">
        <v>1838639</v>
      </c>
      <c r="D4808" s="89" t="s">
        <v>664</v>
      </c>
    </row>
    <row r="4809" spans="1:4" x14ac:dyDescent="0.25">
      <c r="A4809" s="89" t="s">
        <v>23</v>
      </c>
      <c r="B4809" s="89" t="s">
        <v>616</v>
      </c>
      <c r="C4809" s="89">
        <v>963349</v>
      </c>
      <c r="D4809" s="89" t="s">
        <v>663</v>
      </c>
    </row>
    <row r="4810" spans="1:4" x14ac:dyDescent="0.25">
      <c r="A4810" s="89" t="s">
        <v>23</v>
      </c>
      <c r="B4810" s="89" t="s">
        <v>616</v>
      </c>
      <c r="C4810" s="89">
        <v>615940</v>
      </c>
      <c r="D4810" s="89" t="s">
        <v>664</v>
      </c>
    </row>
    <row r="4811" spans="1:4" x14ac:dyDescent="0.25">
      <c r="A4811" s="89" t="s">
        <v>23</v>
      </c>
      <c r="B4811" s="89" t="s">
        <v>616</v>
      </c>
      <c r="C4811" s="89">
        <v>4358982.7</v>
      </c>
      <c r="D4811" s="89" t="s">
        <v>664</v>
      </c>
    </row>
    <row r="4812" spans="1:4" x14ac:dyDescent="0.25">
      <c r="A4812" s="89" t="s">
        <v>23</v>
      </c>
      <c r="B4812" s="89" t="s">
        <v>616</v>
      </c>
      <c r="C4812" s="89">
        <v>600000</v>
      </c>
      <c r="D4812" s="89" t="s">
        <v>663</v>
      </c>
    </row>
    <row r="4813" spans="1:4" x14ac:dyDescent="0.25">
      <c r="A4813" s="89" t="s">
        <v>23</v>
      </c>
      <c r="B4813" s="89" t="s">
        <v>616</v>
      </c>
      <c r="C4813" s="89">
        <v>350000</v>
      </c>
      <c r="D4813" s="89" t="s">
        <v>664</v>
      </c>
    </row>
    <row r="4814" spans="1:4" x14ac:dyDescent="0.25">
      <c r="A4814" s="89" t="s">
        <v>23</v>
      </c>
      <c r="B4814" s="89" t="s">
        <v>616</v>
      </c>
      <c r="C4814" s="89">
        <v>480263</v>
      </c>
      <c r="D4814" s="89" t="s">
        <v>663</v>
      </c>
    </row>
    <row r="4815" spans="1:4" x14ac:dyDescent="0.25">
      <c r="A4815" s="89" t="s">
        <v>23</v>
      </c>
      <c r="B4815" s="89" t="s">
        <v>616</v>
      </c>
      <c r="C4815" s="89">
        <v>375164.4</v>
      </c>
      <c r="D4815" s="89" t="s">
        <v>663</v>
      </c>
    </row>
    <row r="4816" spans="1:4" x14ac:dyDescent="0.25">
      <c r="A4816" s="89" t="s">
        <v>23</v>
      </c>
      <c r="B4816" s="89" t="s">
        <v>616</v>
      </c>
      <c r="C4816" s="89">
        <v>1002455</v>
      </c>
      <c r="D4816" s="89" t="s">
        <v>664</v>
      </c>
    </row>
    <row r="4817" spans="1:4" x14ac:dyDescent="0.25">
      <c r="A4817" s="89" t="s">
        <v>23</v>
      </c>
      <c r="B4817" s="89" t="s">
        <v>616</v>
      </c>
      <c r="C4817" s="89">
        <v>460063.02</v>
      </c>
      <c r="D4817" s="89" t="s">
        <v>663</v>
      </c>
    </row>
    <row r="4818" spans="1:4" x14ac:dyDescent="0.25">
      <c r="A4818" s="89" t="s">
        <v>23</v>
      </c>
      <c r="B4818" s="89" t="s">
        <v>616</v>
      </c>
      <c r="C4818" s="89">
        <v>391844</v>
      </c>
      <c r="D4818" s="89" t="s">
        <v>663</v>
      </c>
    </row>
    <row r="4819" spans="1:4" x14ac:dyDescent="0.25">
      <c r="A4819" s="89" t="s">
        <v>23</v>
      </c>
      <c r="B4819" s="89" t="s">
        <v>616</v>
      </c>
      <c r="C4819" s="89">
        <v>919687.73</v>
      </c>
      <c r="D4819" s="89" t="s">
        <v>663</v>
      </c>
    </row>
    <row r="4820" spans="1:4" x14ac:dyDescent="0.25">
      <c r="A4820" s="89" t="s">
        <v>23</v>
      </c>
      <c r="B4820" s="89" t="s">
        <v>616</v>
      </c>
      <c r="C4820" s="89">
        <v>863251.83</v>
      </c>
      <c r="D4820" s="89" t="s">
        <v>666</v>
      </c>
    </row>
    <row r="4821" spans="1:4" x14ac:dyDescent="0.25">
      <c r="A4821" s="89" t="s">
        <v>23</v>
      </c>
      <c r="B4821" s="89" t="s">
        <v>616</v>
      </c>
      <c r="C4821" s="89">
        <v>999900.26</v>
      </c>
      <c r="D4821" s="89" t="s">
        <v>663</v>
      </c>
    </row>
    <row r="4822" spans="1:4" x14ac:dyDescent="0.25">
      <c r="A4822" s="89" t="s">
        <v>23</v>
      </c>
      <c r="B4822" s="89" t="s">
        <v>616</v>
      </c>
      <c r="C4822" s="89">
        <v>864907.39</v>
      </c>
      <c r="D4822" s="89" t="s">
        <v>663</v>
      </c>
    </row>
    <row r="4823" spans="1:4" x14ac:dyDescent="0.25">
      <c r="A4823" s="89" t="s">
        <v>23</v>
      </c>
      <c r="B4823" s="89" t="s">
        <v>616</v>
      </c>
      <c r="C4823" s="89">
        <v>1070155</v>
      </c>
      <c r="D4823" s="89" t="s">
        <v>664</v>
      </c>
    </row>
    <row r="4824" spans="1:4" x14ac:dyDescent="0.25">
      <c r="A4824" s="89" t="s">
        <v>23</v>
      </c>
      <c r="B4824" s="89" t="s">
        <v>616</v>
      </c>
      <c r="C4824" s="89">
        <v>2374255.23</v>
      </c>
      <c r="D4824" s="89" t="s">
        <v>663</v>
      </c>
    </row>
    <row r="4825" spans="1:4" x14ac:dyDescent="0.25">
      <c r="A4825" s="89" t="s">
        <v>23</v>
      </c>
      <c r="B4825" s="89" t="s">
        <v>616</v>
      </c>
      <c r="C4825" s="89">
        <v>476202.84</v>
      </c>
      <c r="D4825" s="89" t="s">
        <v>663</v>
      </c>
    </row>
    <row r="4826" spans="1:4" x14ac:dyDescent="0.25">
      <c r="A4826" s="89" t="s">
        <v>23</v>
      </c>
      <c r="B4826" s="89" t="s">
        <v>616</v>
      </c>
      <c r="C4826" s="89">
        <v>2845696.67</v>
      </c>
      <c r="D4826" s="89" t="s">
        <v>663</v>
      </c>
    </row>
    <row r="4827" spans="1:4" x14ac:dyDescent="0.25">
      <c r="A4827" s="89" t="s">
        <v>23</v>
      </c>
      <c r="B4827" s="89" t="s">
        <v>616</v>
      </c>
      <c r="C4827" s="89">
        <v>383823.05</v>
      </c>
      <c r="D4827" s="89" t="s">
        <v>663</v>
      </c>
    </row>
    <row r="4828" spans="1:4" x14ac:dyDescent="0.25">
      <c r="A4828" s="89" t="s">
        <v>23</v>
      </c>
      <c r="B4828" s="89" t="s">
        <v>616</v>
      </c>
      <c r="C4828" s="89">
        <v>982516.03</v>
      </c>
      <c r="D4828" s="89" t="s">
        <v>663</v>
      </c>
    </row>
    <row r="4829" spans="1:4" x14ac:dyDescent="0.25">
      <c r="A4829" s="89" t="s">
        <v>23</v>
      </c>
      <c r="B4829" s="89" t="s">
        <v>616</v>
      </c>
      <c r="C4829" s="89">
        <v>6631306.0800000001</v>
      </c>
      <c r="D4829" s="89" t="s">
        <v>663</v>
      </c>
    </row>
    <row r="4830" spans="1:4" x14ac:dyDescent="0.25">
      <c r="A4830" s="89" t="s">
        <v>23</v>
      </c>
      <c r="B4830" s="89" t="s">
        <v>616</v>
      </c>
      <c r="C4830" s="89">
        <v>1431689.18</v>
      </c>
      <c r="D4830" s="89" t="s">
        <v>663</v>
      </c>
    </row>
    <row r="4831" spans="1:4" x14ac:dyDescent="0.25">
      <c r="A4831" s="89" t="s">
        <v>23</v>
      </c>
      <c r="B4831" s="89" t="s">
        <v>616</v>
      </c>
      <c r="C4831" s="89">
        <v>4585729.29</v>
      </c>
      <c r="D4831" s="89" t="s">
        <v>663</v>
      </c>
    </row>
    <row r="4832" spans="1:4" x14ac:dyDescent="0.25">
      <c r="A4832" s="89" t="s">
        <v>23</v>
      </c>
      <c r="B4832" s="89" t="s">
        <v>616</v>
      </c>
      <c r="C4832" s="89">
        <v>4171573.96</v>
      </c>
      <c r="D4832" s="89" t="s">
        <v>663</v>
      </c>
    </row>
    <row r="4833" spans="1:4" x14ac:dyDescent="0.25">
      <c r="A4833" s="89" t="s">
        <v>23</v>
      </c>
      <c r="B4833" s="89" t="s">
        <v>616</v>
      </c>
      <c r="C4833" s="89">
        <v>3836261.78</v>
      </c>
      <c r="D4833" s="89" t="s">
        <v>663</v>
      </c>
    </row>
    <row r="4834" spans="1:4" x14ac:dyDescent="0.25">
      <c r="A4834" s="89" t="s">
        <v>135</v>
      </c>
      <c r="B4834" s="89" t="s">
        <v>615</v>
      </c>
      <c r="C4834" s="89">
        <v>114964</v>
      </c>
      <c r="D4834" s="89" t="s">
        <v>666</v>
      </c>
    </row>
    <row r="4835" spans="1:4" x14ac:dyDescent="0.25">
      <c r="A4835" s="89" t="s">
        <v>135</v>
      </c>
      <c r="B4835" s="89" t="s">
        <v>615</v>
      </c>
      <c r="C4835" s="89">
        <v>676754</v>
      </c>
      <c r="D4835" s="89" t="s">
        <v>666</v>
      </c>
    </row>
    <row r="4836" spans="1:4" x14ac:dyDescent="0.25">
      <c r="A4836" s="89" t="s">
        <v>135</v>
      </c>
      <c r="B4836" s="89" t="s">
        <v>615</v>
      </c>
      <c r="C4836" s="89">
        <v>320200</v>
      </c>
      <c r="D4836" s="89" t="s">
        <v>666</v>
      </c>
    </row>
    <row r="4837" spans="1:4" x14ac:dyDescent="0.25">
      <c r="A4837" s="89" t="s">
        <v>135</v>
      </c>
      <c r="B4837" s="89" t="s">
        <v>615</v>
      </c>
      <c r="C4837" s="89">
        <v>783036</v>
      </c>
      <c r="D4837" s="89" t="s">
        <v>663</v>
      </c>
    </row>
    <row r="4838" spans="1:4" x14ac:dyDescent="0.25">
      <c r="A4838" s="89" t="s">
        <v>135</v>
      </c>
      <c r="B4838" s="89" t="s">
        <v>615</v>
      </c>
      <c r="C4838" s="89">
        <v>380000</v>
      </c>
      <c r="D4838" s="89" t="s">
        <v>663</v>
      </c>
    </row>
    <row r="4839" spans="1:4" x14ac:dyDescent="0.25">
      <c r="A4839" s="89" t="s">
        <v>135</v>
      </c>
      <c r="B4839" s="89" t="s">
        <v>615</v>
      </c>
      <c r="C4839" s="89">
        <v>617870</v>
      </c>
      <c r="D4839" s="89" t="s">
        <v>663</v>
      </c>
    </row>
    <row r="4840" spans="1:4" x14ac:dyDescent="0.25">
      <c r="A4840" s="89" t="s">
        <v>135</v>
      </c>
      <c r="B4840" s="89" t="s">
        <v>615</v>
      </c>
      <c r="C4840" s="89">
        <v>588430</v>
      </c>
      <c r="D4840" s="89" t="s">
        <v>663</v>
      </c>
    </row>
    <row r="4841" spans="1:4" x14ac:dyDescent="0.25">
      <c r="A4841" s="89" t="s">
        <v>135</v>
      </c>
      <c r="B4841" s="89" t="s">
        <v>615</v>
      </c>
      <c r="C4841" s="89">
        <v>368548.5</v>
      </c>
      <c r="D4841" s="89" t="s">
        <v>666</v>
      </c>
    </row>
    <row r="4842" spans="1:4" x14ac:dyDescent="0.25">
      <c r="A4842" s="89" t="s">
        <v>135</v>
      </c>
      <c r="B4842" s="89" t="s">
        <v>615</v>
      </c>
      <c r="C4842" s="89">
        <v>787300.98</v>
      </c>
      <c r="D4842" s="89" t="s">
        <v>666</v>
      </c>
    </row>
    <row r="4843" spans="1:4" x14ac:dyDescent="0.25">
      <c r="A4843" s="89" t="s">
        <v>135</v>
      </c>
      <c r="B4843" s="89" t="s">
        <v>615</v>
      </c>
      <c r="C4843" s="89">
        <v>161218.51999999999</v>
      </c>
      <c r="D4843" s="89" t="s">
        <v>666</v>
      </c>
    </row>
    <row r="4844" spans="1:4" x14ac:dyDescent="0.25">
      <c r="A4844" s="89" t="s">
        <v>135</v>
      </c>
      <c r="B4844" s="89" t="s">
        <v>615</v>
      </c>
      <c r="C4844" s="89">
        <v>276008</v>
      </c>
      <c r="D4844" s="89" t="s">
        <v>663</v>
      </c>
    </row>
    <row r="4845" spans="1:4" x14ac:dyDescent="0.25">
      <c r="A4845" s="89" t="s">
        <v>135</v>
      </c>
      <c r="B4845" s="89" t="s">
        <v>615</v>
      </c>
      <c r="C4845" s="89">
        <v>2187890.35</v>
      </c>
      <c r="D4845" s="89" t="s">
        <v>663</v>
      </c>
    </row>
    <row r="4846" spans="1:4" x14ac:dyDescent="0.25">
      <c r="A4846" s="89" t="s">
        <v>135</v>
      </c>
      <c r="B4846" s="89" t="s">
        <v>615</v>
      </c>
      <c r="C4846" s="89">
        <v>283201.3</v>
      </c>
      <c r="D4846" s="89" t="s">
        <v>666</v>
      </c>
    </row>
    <row r="4847" spans="1:4" x14ac:dyDescent="0.25">
      <c r="A4847" s="89" t="s">
        <v>135</v>
      </c>
      <c r="B4847" s="89" t="s">
        <v>615</v>
      </c>
      <c r="C4847" s="89">
        <v>1314382.82</v>
      </c>
      <c r="D4847" s="89" t="s">
        <v>663</v>
      </c>
    </row>
    <row r="4848" spans="1:4" x14ac:dyDescent="0.25">
      <c r="A4848" s="89" t="s">
        <v>135</v>
      </c>
      <c r="B4848" s="89" t="s">
        <v>615</v>
      </c>
      <c r="C4848" s="89">
        <v>1082472.95</v>
      </c>
      <c r="D4848" s="89" t="s">
        <v>663</v>
      </c>
    </row>
    <row r="4849" spans="1:4" x14ac:dyDescent="0.25">
      <c r="A4849" s="89" t="s">
        <v>135</v>
      </c>
      <c r="B4849" s="89" t="s">
        <v>615</v>
      </c>
      <c r="C4849" s="89">
        <v>480568.43</v>
      </c>
      <c r="D4849" s="89" t="s">
        <v>663</v>
      </c>
    </row>
    <row r="4850" spans="1:4" x14ac:dyDescent="0.25">
      <c r="A4850" s="89" t="s">
        <v>135</v>
      </c>
      <c r="B4850" s="89" t="s">
        <v>615</v>
      </c>
      <c r="C4850" s="89">
        <v>524140.57</v>
      </c>
      <c r="D4850" s="89" t="s">
        <v>663</v>
      </c>
    </row>
    <row r="4851" spans="1:4" x14ac:dyDescent="0.25">
      <c r="A4851" s="89" t="s">
        <v>135</v>
      </c>
      <c r="B4851" s="89" t="s">
        <v>615</v>
      </c>
      <c r="C4851" s="89">
        <v>1470571</v>
      </c>
      <c r="D4851" s="89" t="s">
        <v>666</v>
      </c>
    </row>
    <row r="4852" spans="1:4" x14ac:dyDescent="0.25">
      <c r="A4852" s="89" t="s">
        <v>135</v>
      </c>
      <c r="B4852" s="89" t="s">
        <v>615</v>
      </c>
      <c r="C4852" s="89">
        <v>1331526.48</v>
      </c>
      <c r="D4852" s="89" t="s">
        <v>663</v>
      </c>
    </row>
    <row r="4853" spans="1:4" x14ac:dyDescent="0.25">
      <c r="A4853" s="89" t="s">
        <v>135</v>
      </c>
      <c r="B4853" s="89" t="s">
        <v>615</v>
      </c>
      <c r="C4853" s="89">
        <v>1062434.3700000001</v>
      </c>
      <c r="D4853" s="89" t="s">
        <v>663</v>
      </c>
    </row>
    <row r="4854" spans="1:4" x14ac:dyDescent="0.25">
      <c r="A4854" s="89" t="s">
        <v>135</v>
      </c>
      <c r="B4854" s="89" t="s">
        <v>615</v>
      </c>
      <c r="C4854" s="89">
        <v>1868026.33</v>
      </c>
      <c r="D4854" s="89" t="s">
        <v>663</v>
      </c>
    </row>
    <row r="4855" spans="1:4" x14ac:dyDescent="0.25">
      <c r="A4855" s="89" t="s">
        <v>135</v>
      </c>
      <c r="B4855" s="89" t="s">
        <v>615</v>
      </c>
      <c r="C4855" s="89">
        <v>162414</v>
      </c>
      <c r="D4855" s="89" t="s">
        <v>663</v>
      </c>
    </row>
    <row r="4856" spans="1:4" x14ac:dyDescent="0.25">
      <c r="A4856" s="89" t="s">
        <v>135</v>
      </c>
      <c r="B4856" s="89" t="s">
        <v>615</v>
      </c>
      <c r="C4856" s="89">
        <v>367452</v>
      </c>
      <c r="D4856" s="89" t="s">
        <v>663</v>
      </c>
    </row>
    <row r="4857" spans="1:4" x14ac:dyDescent="0.25">
      <c r="A4857" s="89" t="s">
        <v>135</v>
      </c>
      <c r="B4857" s="89" t="s">
        <v>615</v>
      </c>
      <c r="C4857" s="89">
        <v>400000</v>
      </c>
      <c r="D4857" s="89" t="s">
        <v>663</v>
      </c>
    </row>
    <row r="4858" spans="1:4" x14ac:dyDescent="0.25">
      <c r="A4858" s="89" t="s">
        <v>135</v>
      </c>
      <c r="B4858" s="89" t="s">
        <v>615</v>
      </c>
      <c r="C4858" s="89">
        <v>1690265.49</v>
      </c>
      <c r="D4858" s="89" t="s">
        <v>663</v>
      </c>
    </row>
    <row r="4859" spans="1:4" x14ac:dyDescent="0.25">
      <c r="A4859" s="89" t="s">
        <v>135</v>
      </c>
      <c r="B4859" s="89" t="s">
        <v>615</v>
      </c>
      <c r="C4859" s="89">
        <v>67289.97</v>
      </c>
      <c r="D4859" s="89" t="s">
        <v>666</v>
      </c>
    </row>
    <row r="4860" spans="1:4" x14ac:dyDescent="0.25">
      <c r="A4860" s="89" t="s">
        <v>135</v>
      </c>
      <c r="B4860" s="89" t="s">
        <v>615</v>
      </c>
      <c r="C4860" s="89">
        <v>217935</v>
      </c>
      <c r="D4860" s="89" t="s">
        <v>666</v>
      </c>
    </row>
    <row r="4861" spans="1:4" x14ac:dyDescent="0.25">
      <c r="A4861" s="89" t="s">
        <v>135</v>
      </c>
      <c r="B4861" s="89" t="s">
        <v>615</v>
      </c>
      <c r="C4861" s="89">
        <v>1069426.92</v>
      </c>
      <c r="D4861" s="89" t="s">
        <v>663</v>
      </c>
    </row>
    <row r="4862" spans="1:4" x14ac:dyDescent="0.25">
      <c r="A4862" s="89" t="s">
        <v>135</v>
      </c>
      <c r="B4862" s="89" t="s">
        <v>615</v>
      </c>
      <c r="C4862" s="89">
        <v>183025.22</v>
      </c>
      <c r="D4862" s="89" t="s">
        <v>663</v>
      </c>
    </row>
    <row r="4863" spans="1:4" x14ac:dyDescent="0.25">
      <c r="A4863" s="89" t="s">
        <v>135</v>
      </c>
      <c r="B4863" s="89" t="s">
        <v>615</v>
      </c>
      <c r="C4863" s="89">
        <v>456308.53</v>
      </c>
      <c r="D4863" s="89" t="s">
        <v>663</v>
      </c>
    </row>
    <row r="4864" spans="1:4" x14ac:dyDescent="0.25">
      <c r="A4864" s="89" t="s">
        <v>135</v>
      </c>
      <c r="B4864" s="89" t="s">
        <v>615</v>
      </c>
      <c r="C4864" s="89">
        <v>366524.6</v>
      </c>
      <c r="D4864" s="89" t="s">
        <v>666</v>
      </c>
    </row>
    <row r="4865" spans="1:4" x14ac:dyDescent="0.25">
      <c r="A4865" s="89" t="s">
        <v>135</v>
      </c>
      <c r="B4865" s="89" t="s">
        <v>615</v>
      </c>
      <c r="C4865" s="89">
        <v>204700.41</v>
      </c>
      <c r="D4865" s="89" t="s">
        <v>666</v>
      </c>
    </row>
    <row r="4866" spans="1:4" x14ac:dyDescent="0.25">
      <c r="A4866" s="89" t="s">
        <v>135</v>
      </c>
      <c r="B4866" s="89" t="s">
        <v>615</v>
      </c>
      <c r="C4866" s="89">
        <v>423874.49</v>
      </c>
      <c r="D4866" s="89" t="s">
        <v>666</v>
      </c>
    </row>
    <row r="4867" spans="1:4" x14ac:dyDescent="0.25">
      <c r="A4867" s="89" t="s">
        <v>135</v>
      </c>
      <c r="B4867" s="89" t="s">
        <v>615</v>
      </c>
      <c r="C4867" s="89">
        <v>666692.24</v>
      </c>
      <c r="D4867" s="89" t="s">
        <v>666</v>
      </c>
    </row>
    <row r="4868" spans="1:4" x14ac:dyDescent="0.25">
      <c r="A4868" s="89" t="s">
        <v>135</v>
      </c>
      <c r="B4868" s="89" t="s">
        <v>615</v>
      </c>
      <c r="C4868" s="89">
        <v>1346494.84</v>
      </c>
      <c r="D4868" s="89" t="s">
        <v>663</v>
      </c>
    </row>
    <row r="4869" spans="1:4" x14ac:dyDescent="0.25">
      <c r="A4869" s="89" t="s">
        <v>135</v>
      </c>
      <c r="B4869" s="89" t="s">
        <v>615</v>
      </c>
      <c r="C4869" s="89">
        <v>50000</v>
      </c>
      <c r="D4869" s="89" t="s">
        <v>666</v>
      </c>
    </row>
    <row r="4870" spans="1:4" x14ac:dyDescent="0.25">
      <c r="A4870" s="89" t="s">
        <v>135</v>
      </c>
      <c r="B4870" s="89" t="s">
        <v>615</v>
      </c>
      <c r="C4870" s="89">
        <v>50000</v>
      </c>
      <c r="D4870" s="89" t="s">
        <v>666</v>
      </c>
    </row>
    <row r="4871" spans="1:4" x14ac:dyDescent="0.25">
      <c r="A4871" s="89" t="s">
        <v>135</v>
      </c>
      <c r="B4871" s="89" t="s">
        <v>615</v>
      </c>
      <c r="C4871" s="89">
        <v>339864</v>
      </c>
      <c r="D4871" s="89" t="s">
        <v>666</v>
      </c>
    </row>
    <row r="4872" spans="1:4" x14ac:dyDescent="0.25">
      <c r="A4872" s="89" t="s">
        <v>135</v>
      </c>
      <c r="B4872" s="89" t="s">
        <v>615</v>
      </c>
      <c r="C4872" s="89">
        <v>785248.92</v>
      </c>
      <c r="D4872" s="89" t="s">
        <v>663</v>
      </c>
    </row>
    <row r="4873" spans="1:4" x14ac:dyDescent="0.25">
      <c r="A4873" s="89" t="s">
        <v>135</v>
      </c>
      <c r="B4873" s="89" t="s">
        <v>615</v>
      </c>
      <c r="C4873" s="89">
        <v>434378.91</v>
      </c>
      <c r="D4873" s="89" t="s">
        <v>663</v>
      </c>
    </row>
    <row r="4874" spans="1:4" x14ac:dyDescent="0.25">
      <c r="A4874" s="89" t="s">
        <v>135</v>
      </c>
      <c r="B4874" s="89" t="s">
        <v>615</v>
      </c>
      <c r="C4874" s="89">
        <v>508065.68</v>
      </c>
      <c r="D4874" s="89" t="s">
        <v>663</v>
      </c>
    </row>
    <row r="4875" spans="1:4" x14ac:dyDescent="0.25">
      <c r="A4875" s="89" t="s">
        <v>75</v>
      </c>
      <c r="B4875" s="89" t="s">
        <v>617</v>
      </c>
      <c r="C4875" s="89">
        <v>210558</v>
      </c>
      <c r="D4875" s="89" t="s">
        <v>666</v>
      </c>
    </row>
    <row r="4876" spans="1:4" x14ac:dyDescent="0.25">
      <c r="A4876" s="89" t="s">
        <v>75</v>
      </c>
      <c r="B4876" s="89" t="s">
        <v>617</v>
      </c>
      <c r="C4876" s="89">
        <v>1868245</v>
      </c>
      <c r="D4876" s="89" t="s">
        <v>664</v>
      </c>
    </row>
    <row r="4877" spans="1:4" x14ac:dyDescent="0.25">
      <c r="A4877" s="89" t="s">
        <v>75</v>
      </c>
      <c r="B4877" s="89" t="s">
        <v>617</v>
      </c>
      <c r="C4877" s="89">
        <v>2117053</v>
      </c>
      <c r="D4877" s="89" t="s">
        <v>664</v>
      </c>
    </row>
    <row r="4878" spans="1:4" x14ac:dyDescent="0.25">
      <c r="A4878" s="89" t="s">
        <v>75</v>
      </c>
      <c r="B4878" s="89" t="s">
        <v>617</v>
      </c>
      <c r="C4878" s="89">
        <v>324516</v>
      </c>
      <c r="D4878" s="89" t="s">
        <v>666</v>
      </c>
    </row>
    <row r="4879" spans="1:4" x14ac:dyDescent="0.25">
      <c r="A4879" s="89" t="s">
        <v>75</v>
      </c>
      <c r="B4879" s="89" t="s">
        <v>617</v>
      </c>
      <c r="C4879" s="89">
        <v>272104</v>
      </c>
      <c r="D4879" s="89" t="s">
        <v>666</v>
      </c>
    </row>
    <row r="4880" spans="1:4" x14ac:dyDescent="0.25">
      <c r="A4880" s="89" t="s">
        <v>75</v>
      </c>
      <c r="B4880" s="89" t="s">
        <v>617</v>
      </c>
      <c r="C4880" s="89">
        <v>3654483</v>
      </c>
      <c r="D4880" s="89" t="s">
        <v>663</v>
      </c>
    </row>
    <row r="4881" spans="1:4" x14ac:dyDescent="0.25">
      <c r="A4881" s="89" t="s">
        <v>75</v>
      </c>
      <c r="B4881" s="89" t="s">
        <v>617</v>
      </c>
      <c r="C4881" s="89">
        <v>927301</v>
      </c>
      <c r="D4881" s="89" t="s">
        <v>664</v>
      </c>
    </row>
    <row r="4882" spans="1:4" x14ac:dyDescent="0.25">
      <c r="A4882" s="89" t="s">
        <v>75</v>
      </c>
      <c r="B4882" s="89" t="s">
        <v>617</v>
      </c>
      <c r="C4882" s="89">
        <v>1045728</v>
      </c>
      <c r="D4882" s="89" t="s">
        <v>663</v>
      </c>
    </row>
    <row r="4883" spans="1:4" x14ac:dyDescent="0.25">
      <c r="A4883" s="89" t="s">
        <v>75</v>
      </c>
      <c r="B4883" s="89" t="s">
        <v>617</v>
      </c>
      <c r="C4883" s="89">
        <v>102825</v>
      </c>
      <c r="D4883" s="89" t="s">
        <v>666</v>
      </c>
    </row>
    <row r="4884" spans="1:4" x14ac:dyDescent="0.25">
      <c r="A4884" s="89" t="s">
        <v>75</v>
      </c>
      <c r="B4884" s="89" t="s">
        <v>617</v>
      </c>
      <c r="C4884" s="89">
        <v>266700</v>
      </c>
      <c r="D4884" s="89" t="s">
        <v>666</v>
      </c>
    </row>
    <row r="4885" spans="1:4" x14ac:dyDescent="0.25">
      <c r="A4885" s="89" t="s">
        <v>75</v>
      </c>
      <c r="B4885" s="89" t="s">
        <v>617</v>
      </c>
      <c r="C4885" s="89">
        <v>270765</v>
      </c>
      <c r="D4885" s="89" t="s">
        <v>666</v>
      </c>
    </row>
    <row r="4886" spans="1:4" x14ac:dyDescent="0.25">
      <c r="A4886" s="89" t="s">
        <v>75</v>
      </c>
      <c r="B4886" s="89" t="s">
        <v>617</v>
      </c>
      <c r="C4886" s="89">
        <v>2043498</v>
      </c>
      <c r="D4886" s="89" t="s">
        <v>664</v>
      </c>
    </row>
    <row r="4887" spans="1:4" x14ac:dyDescent="0.25">
      <c r="A4887" s="89" t="s">
        <v>75</v>
      </c>
      <c r="B4887" s="89" t="s">
        <v>617</v>
      </c>
      <c r="C4887" s="89">
        <v>486575</v>
      </c>
      <c r="D4887" s="89" t="s">
        <v>663</v>
      </c>
    </row>
    <row r="4888" spans="1:4" x14ac:dyDescent="0.25">
      <c r="A4888" s="89" t="s">
        <v>75</v>
      </c>
      <c r="B4888" s="89" t="s">
        <v>617</v>
      </c>
      <c r="C4888" s="89">
        <v>221245</v>
      </c>
      <c r="D4888" s="89" t="s">
        <v>666</v>
      </c>
    </row>
    <row r="4889" spans="1:4" x14ac:dyDescent="0.25">
      <c r="A4889" s="89" t="s">
        <v>75</v>
      </c>
      <c r="B4889" s="89" t="s">
        <v>617</v>
      </c>
      <c r="C4889" s="89">
        <v>467744.9</v>
      </c>
      <c r="D4889" s="89" t="s">
        <v>663</v>
      </c>
    </row>
    <row r="4890" spans="1:4" x14ac:dyDescent="0.25">
      <c r="A4890" s="89" t="s">
        <v>75</v>
      </c>
      <c r="B4890" s="89" t="s">
        <v>617</v>
      </c>
      <c r="C4890" s="89">
        <v>225483</v>
      </c>
      <c r="D4890" s="89" t="s">
        <v>666</v>
      </c>
    </row>
    <row r="4891" spans="1:4" x14ac:dyDescent="0.25">
      <c r="A4891" s="89" t="s">
        <v>75</v>
      </c>
      <c r="B4891" s="89" t="s">
        <v>617</v>
      </c>
      <c r="C4891" s="89">
        <v>1158659.95</v>
      </c>
      <c r="D4891" s="89" t="s">
        <v>663</v>
      </c>
    </row>
    <row r="4892" spans="1:4" x14ac:dyDescent="0.25">
      <c r="A4892" s="89" t="s">
        <v>75</v>
      </c>
      <c r="B4892" s="89" t="s">
        <v>617</v>
      </c>
      <c r="C4892" s="89">
        <v>599699.94999999995</v>
      </c>
      <c r="D4892" s="89" t="s">
        <v>663</v>
      </c>
    </row>
    <row r="4893" spans="1:4" x14ac:dyDescent="0.25">
      <c r="A4893" s="89" t="s">
        <v>75</v>
      </c>
      <c r="B4893" s="89" t="s">
        <v>617</v>
      </c>
      <c r="C4893" s="89">
        <v>395396</v>
      </c>
      <c r="D4893" s="89" t="s">
        <v>666</v>
      </c>
    </row>
    <row r="4894" spans="1:4" x14ac:dyDescent="0.25">
      <c r="A4894" s="89" t="s">
        <v>75</v>
      </c>
      <c r="B4894" s="89" t="s">
        <v>617</v>
      </c>
      <c r="C4894" s="89">
        <v>13407098.91</v>
      </c>
      <c r="D4894" s="89" t="s">
        <v>663</v>
      </c>
    </row>
    <row r="4895" spans="1:4" x14ac:dyDescent="0.25">
      <c r="A4895" s="89" t="s">
        <v>75</v>
      </c>
      <c r="B4895" s="89" t="s">
        <v>617</v>
      </c>
      <c r="C4895" s="89">
        <v>459566</v>
      </c>
      <c r="D4895" s="89" t="s">
        <v>663</v>
      </c>
    </row>
    <row r="4896" spans="1:4" x14ac:dyDescent="0.25">
      <c r="A4896" s="89" t="s">
        <v>75</v>
      </c>
      <c r="B4896" s="89" t="s">
        <v>617</v>
      </c>
      <c r="C4896" s="89">
        <v>668340</v>
      </c>
      <c r="D4896" s="89" t="s">
        <v>663</v>
      </c>
    </row>
    <row r="4897" spans="1:4" x14ac:dyDescent="0.25">
      <c r="A4897" s="89" t="s">
        <v>75</v>
      </c>
      <c r="B4897" s="89" t="s">
        <v>617</v>
      </c>
      <c r="C4897" s="89">
        <v>2330704</v>
      </c>
      <c r="D4897" s="89" t="s">
        <v>663</v>
      </c>
    </row>
    <row r="4898" spans="1:4" x14ac:dyDescent="0.25">
      <c r="A4898" s="89" t="s">
        <v>75</v>
      </c>
      <c r="B4898" s="89" t="s">
        <v>617</v>
      </c>
      <c r="C4898" s="89">
        <v>426945</v>
      </c>
      <c r="D4898" s="89" t="s">
        <v>666</v>
      </c>
    </row>
    <row r="4899" spans="1:4" x14ac:dyDescent="0.25">
      <c r="A4899" s="89" t="s">
        <v>75</v>
      </c>
      <c r="B4899" s="89" t="s">
        <v>617</v>
      </c>
      <c r="C4899" s="89">
        <v>430982</v>
      </c>
      <c r="D4899" s="89" t="s">
        <v>666</v>
      </c>
    </row>
    <row r="4900" spans="1:4" x14ac:dyDescent="0.25">
      <c r="A4900" s="89" t="s">
        <v>75</v>
      </c>
      <c r="B4900" s="89" t="s">
        <v>617</v>
      </c>
      <c r="C4900" s="89">
        <v>1254424</v>
      </c>
      <c r="D4900" s="89" t="s">
        <v>663</v>
      </c>
    </row>
    <row r="4901" spans="1:4" x14ac:dyDescent="0.25">
      <c r="A4901" s="89" t="s">
        <v>75</v>
      </c>
      <c r="B4901" s="89" t="s">
        <v>617</v>
      </c>
      <c r="C4901" s="89">
        <v>1865765.97</v>
      </c>
      <c r="D4901" s="89" t="s">
        <v>663</v>
      </c>
    </row>
    <row r="4902" spans="1:4" x14ac:dyDescent="0.25">
      <c r="A4902" s="89" t="s">
        <v>75</v>
      </c>
      <c r="B4902" s="89" t="s">
        <v>617</v>
      </c>
      <c r="C4902" s="89">
        <v>718575.31</v>
      </c>
      <c r="D4902" s="89" t="s">
        <v>666</v>
      </c>
    </row>
    <row r="4903" spans="1:4" x14ac:dyDescent="0.25">
      <c r="A4903" s="89" t="s">
        <v>75</v>
      </c>
      <c r="B4903" s="89" t="s">
        <v>617</v>
      </c>
      <c r="C4903" s="89">
        <v>1366477</v>
      </c>
      <c r="D4903" s="89" t="s">
        <v>663</v>
      </c>
    </row>
    <row r="4904" spans="1:4" x14ac:dyDescent="0.25">
      <c r="A4904" s="89" t="s">
        <v>75</v>
      </c>
      <c r="B4904" s="89" t="s">
        <v>617</v>
      </c>
      <c r="C4904" s="89">
        <v>2794509.37</v>
      </c>
      <c r="D4904" s="89" t="s">
        <v>664</v>
      </c>
    </row>
    <row r="4905" spans="1:4" x14ac:dyDescent="0.25">
      <c r="A4905" s="89" t="s">
        <v>75</v>
      </c>
      <c r="B4905" s="89" t="s">
        <v>617</v>
      </c>
      <c r="C4905" s="89">
        <v>2655845</v>
      </c>
      <c r="D4905" s="89" t="s">
        <v>663</v>
      </c>
    </row>
    <row r="4906" spans="1:4" x14ac:dyDescent="0.25">
      <c r="A4906" s="89" t="s">
        <v>75</v>
      </c>
      <c r="B4906" s="89" t="s">
        <v>617</v>
      </c>
      <c r="C4906" s="89">
        <v>1681643.16</v>
      </c>
      <c r="D4906" s="89" t="s">
        <v>663</v>
      </c>
    </row>
    <row r="4907" spans="1:4" x14ac:dyDescent="0.25">
      <c r="A4907" s="89" t="s">
        <v>75</v>
      </c>
      <c r="B4907" s="89" t="s">
        <v>617</v>
      </c>
      <c r="C4907" s="89">
        <v>292343</v>
      </c>
      <c r="D4907" s="89" t="s">
        <v>666</v>
      </c>
    </row>
    <row r="4908" spans="1:4" x14ac:dyDescent="0.25">
      <c r="A4908" s="89" t="s">
        <v>75</v>
      </c>
      <c r="B4908" s="89" t="s">
        <v>617</v>
      </c>
      <c r="C4908" s="89">
        <v>719202</v>
      </c>
      <c r="D4908" s="89" t="s">
        <v>663</v>
      </c>
    </row>
    <row r="4909" spans="1:4" x14ac:dyDescent="0.25">
      <c r="A4909" s="89" t="s">
        <v>75</v>
      </c>
      <c r="B4909" s="89" t="s">
        <v>617</v>
      </c>
      <c r="C4909" s="89">
        <v>950275</v>
      </c>
      <c r="D4909" s="89" t="s">
        <v>666</v>
      </c>
    </row>
    <row r="4910" spans="1:4" x14ac:dyDescent="0.25">
      <c r="A4910" s="89" t="s">
        <v>75</v>
      </c>
      <c r="B4910" s="89" t="s">
        <v>617</v>
      </c>
      <c r="C4910" s="89">
        <v>312327</v>
      </c>
      <c r="D4910" s="89" t="s">
        <v>666</v>
      </c>
    </row>
    <row r="4911" spans="1:4" x14ac:dyDescent="0.25">
      <c r="A4911" s="89" t="s">
        <v>75</v>
      </c>
      <c r="B4911" s="89" t="s">
        <v>617</v>
      </c>
      <c r="C4911" s="89">
        <v>2400917</v>
      </c>
      <c r="D4911" s="89" t="s">
        <v>663</v>
      </c>
    </row>
    <row r="4912" spans="1:4" x14ac:dyDescent="0.25">
      <c r="A4912" s="89" t="s">
        <v>75</v>
      </c>
      <c r="B4912" s="89" t="s">
        <v>617</v>
      </c>
      <c r="C4912" s="89">
        <v>390295.15</v>
      </c>
      <c r="D4912" s="89" t="s">
        <v>666</v>
      </c>
    </row>
    <row r="4913" spans="1:4" x14ac:dyDescent="0.25">
      <c r="A4913" s="89" t="s">
        <v>75</v>
      </c>
      <c r="B4913" s="89" t="s">
        <v>617</v>
      </c>
      <c r="C4913" s="89">
        <v>795169</v>
      </c>
      <c r="D4913" s="89" t="s">
        <v>663</v>
      </c>
    </row>
    <row r="4914" spans="1:4" x14ac:dyDescent="0.25">
      <c r="A4914" s="89" t="s">
        <v>75</v>
      </c>
      <c r="B4914" s="89" t="s">
        <v>617</v>
      </c>
      <c r="C4914" s="89">
        <v>161897</v>
      </c>
      <c r="D4914" s="89" t="s">
        <v>666</v>
      </c>
    </row>
    <row r="4915" spans="1:4" x14ac:dyDescent="0.25">
      <c r="A4915" s="89" t="s">
        <v>75</v>
      </c>
      <c r="B4915" s="89" t="s">
        <v>617</v>
      </c>
      <c r="C4915" s="89">
        <v>4840240</v>
      </c>
      <c r="D4915" s="89" t="s">
        <v>664</v>
      </c>
    </row>
    <row r="4916" spans="1:4" x14ac:dyDescent="0.25">
      <c r="A4916" s="89" t="s">
        <v>75</v>
      </c>
      <c r="B4916" s="89" t="s">
        <v>617</v>
      </c>
      <c r="C4916" s="89">
        <v>1494842</v>
      </c>
      <c r="D4916" s="89" t="s">
        <v>666</v>
      </c>
    </row>
    <row r="4917" spans="1:4" x14ac:dyDescent="0.25">
      <c r="A4917" s="89" t="s">
        <v>75</v>
      </c>
      <c r="B4917" s="89" t="s">
        <v>617</v>
      </c>
      <c r="C4917" s="89">
        <v>2505023</v>
      </c>
      <c r="D4917" s="89" t="s">
        <v>664</v>
      </c>
    </row>
    <row r="4918" spans="1:4" x14ac:dyDescent="0.25">
      <c r="A4918" s="89" t="s">
        <v>75</v>
      </c>
      <c r="B4918" s="89" t="s">
        <v>617</v>
      </c>
      <c r="C4918" s="89">
        <v>480307.32</v>
      </c>
      <c r="D4918" s="89" t="s">
        <v>666</v>
      </c>
    </row>
    <row r="4919" spans="1:4" x14ac:dyDescent="0.25">
      <c r="A4919" s="89" t="s">
        <v>75</v>
      </c>
      <c r="B4919" s="89" t="s">
        <v>617</v>
      </c>
      <c r="C4919" s="89">
        <v>118214.41</v>
      </c>
      <c r="D4919" s="89" t="s">
        <v>666</v>
      </c>
    </row>
    <row r="4920" spans="1:4" x14ac:dyDescent="0.25">
      <c r="A4920" s="89" t="s">
        <v>75</v>
      </c>
      <c r="B4920" s="89" t="s">
        <v>617</v>
      </c>
      <c r="C4920" s="89">
        <v>1064683.81</v>
      </c>
      <c r="D4920" s="89" t="s">
        <v>663</v>
      </c>
    </row>
    <row r="4921" spans="1:4" x14ac:dyDescent="0.25">
      <c r="A4921" s="89" t="s">
        <v>75</v>
      </c>
      <c r="B4921" s="89" t="s">
        <v>617</v>
      </c>
      <c r="C4921" s="89">
        <v>823343.79</v>
      </c>
      <c r="D4921" s="89" t="s">
        <v>663</v>
      </c>
    </row>
    <row r="4922" spans="1:4" x14ac:dyDescent="0.25">
      <c r="A4922" s="89" t="s">
        <v>75</v>
      </c>
      <c r="B4922" s="89" t="s">
        <v>617</v>
      </c>
      <c r="C4922" s="89">
        <v>799742.83</v>
      </c>
      <c r="D4922" s="89" t="s">
        <v>664</v>
      </c>
    </row>
    <row r="4923" spans="1:4" x14ac:dyDescent="0.25">
      <c r="A4923" s="89" t="s">
        <v>75</v>
      </c>
      <c r="B4923" s="89" t="s">
        <v>617</v>
      </c>
      <c r="C4923" s="89">
        <v>431316.14</v>
      </c>
      <c r="D4923" s="89" t="s">
        <v>666</v>
      </c>
    </row>
    <row r="4924" spans="1:4" x14ac:dyDescent="0.25">
      <c r="A4924" s="89" t="s">
        <v>75</v>
      </c>
      <c r="B4924" s="89" t="s">
        <v>617</v>
      </c>
      <c r="C4924" s="89">
        <v>299962.28000000003</v>
      </c>
      <c r="D4924" s="89" t="s">
        <v>666</v>
      </c>
    </row>
    <row r="4925" spans="1:4" x14ac:dyDescent="0.25">
      <c r="A4925" s="89" t="s">
        <v>75</v>
      </c>
      <c r="B4925" s="89" t="s">
        <v>617</v>
      </c>
      <c r="C4925" s="89">
        <v>1377775</v>
      </c>
      <c r="D4925" s="89" t="s">
        <v>664</v>
      </c>
    </row>
    <row r="4926" spans="1:4" x14ac:dyDescent="0.25">
      <c r="A4926" s="89" t="s">
        <v>75</v>
      </c>
      <c r="B4926" s="89" t="s">
        <v>617</v>
      </c>
      <c r="C4926" s="89">
        <v>603242</v>
      </c>
      <c r="D4926" s="89" t="s">
        <v>666</v>
      </c>
    </row>
    <row r="4927" spans="1:4" x14ac:dyDescent="0.25">
      <c r="A4927" s="89" t="s">
        <v>74</v>
      </c>
      <c r="B4927" s="89" t="s">
        <v>617</v>
      </c>
      <c r="C4927" s="89">
        <v>411411</v>
      </c>
      <c r="D4927" s="89" t="s">
        <v>666</v>
      </c>
    </row>
    <row r="4928" spans="1:4" x14ac:dyDescent="0.25">
      <c r="A4928" s="89" t="s">
        <v>74</v>
      </c>
      <c r="B4928" s="89" t="s">
        <v>617</v>
      </c>
      <c r="C4928" s="89">
        <v>1102397</v>
      </c>
      <c r="D4928" s="89" t="s">
        <v>666</v>
      </c>
    </row>
    <row r="4929" spans="1:4" x14ac:dyDescent="0.25">
      <c r="A4929" s="89" t="s">
        <v>74</v>
      </c>
      <c r="B4929" s="89" t="s">
        <v>617</v>
      </c>
      <c r="C4929" s="89">
        <v>94130</v>
      </c>
      <c r="D4929" s="89" t="s">
        <v>666</v>
      </c>
    </row>
    <row r="4930" spans="1:4" x14ac:dyDescent="0.25">
      <c r="A4930" s="89" t="s">
        <v>130</v>
      </c>
      <c r="B4930" s="89" t="s">
        <v>617</v>
      </c>
      <c r="C4930" s="89">
        <v>2692235</v>
      </c>
      <c r="D4930" s="89" t="s">
        <v>663</v>
      </c>
    </row>
    <row r="4931" spans="1:4" x14ac:dyDescent="0.25">
      <c r="A4931" s="89" t="s">
        <v>130</v>
      </c>
      <c r="B4931" s="89" t="s">
        <v>617</v>
      </c>
      <c r="C4931" s="89">
        <v>335593</v>
      </c>
      <c r="D4931" s="89" t="s">
        <v>664</v>
      </c>
    </row>
    <row r="4932" spans="1:4" x14ac:dyDescent="0.25">
      <c r="A4932" s="89" t="s">
        <v>130</v>
      </c>
      <c r="B4932" s="89" t="s">
        <v>617</v>
      </c>
      <c r="C4932" s="89">
        <v>2269096</v>
      </c>
      <c r="D4932" s="89" t="s">
        <v>666</v>
      </c>
    </row>
    <row r="4933" spans="1:4" x14ac:dyDescent="0.25">
      <c r="A4933" s="89" t="s">
        <v>130</v>
      </c>
      <c r="B4933" s="89" t="s">
        <v>617</v>
      </c>
      <c r="C4933" s="89">
        <v>1441001</v>
      </c>
      <c r="D4933" s="89" t="s">
        <v>664</v>
      </c>
    </row>
    <row r="4934" spans="1:4" x14ac:dyDescent="0.25">
      <c r="A4934" s="89" t="s">
        <v>130</v>
      </c>
      <c r="B4934" s="89" t="s">
        <v>617</v>
      </c>
      <c r="C4934" s="89">
        <v>4111582</v>
      </c>
      <c r="D4934" s="89" t="s">
        <v>663</v>
      </c>
    </row>
    <row r="4935" spans="1:4" x14ac:dyDescent="0.25">
      <c r="A4935" s="89" t="s">
        <v>130</v>
      </c>
      <c r="B4935" s="89" t="s">
        <v>617</v>
      </c>
      <c r="C4935" s="89">
        <v>2431871</v>
      </c>
      <c r="D4935" s="89" t="s">
        <v>664</v>
      </c>
    </row>
    <row r="4936" spans="1:4" x14ac:dyDescent="0.25">
      <c r="A4936" s="89" t="s">
        <v>130</v>
      </c>
      <c r="B4936" s="89" t="s">
        <v>617</v>
      </c>
      <c r="C4936" s="89">
        <v>787923</v>
      </c>
      <c r="D4936" s="89" t="s">
        <v>666</v>
      </c>
    </row>
    <row r="4937" spans="1:4" x14ac:dyDescent="0.25">
      <c r="A4937" s="89" t="s">
        <v>130</v>
      </c>
      <c r="B4937" s="89" t="s">
        <v>617</v>
      </c>
      <c r="C4937" s="89">
        <v>885327</v>
      </c>
      <c r="D4937" s="89" t="s">
        <v>666</v>
      </c>
    </row>
    <row r="4938" spans="1:4" x14ac:dyDescent="0.25">
      <c r="A4938" s="89" t="s">
        <v>130</v>
      </c>
      <c r="B4938" s="89" t="s">
        <v>617</v>
      </c>
      <c r="C4938" s="89">
        <v>1015142</v>
      </c>
      <c r="D4938" s="89" t="s">
        <v>666</v>
      </c>
    </row>
    <row r="4939" spans="1:4" x14ac:dyDescent="0.25">
      <c r="A4939" s="89" t="s">
        <v>130</v>
      </c>
      <c r="B4939" s="89" t="s">
        <v>617</v>
      </c>
      <c r="C4939" s="89">
        <v>2189956</v>
      </c>
      <c r="D4939" s="89" t="s">
        <v>664</v>
      </c>
    </row>
    <row r="4940" spans="1:4" x14ac:dyDescent="0.25">
      <c r="A4940" s="89" t="s">
        <v>130</v>
      </c>
      <c r="B4940" s="89" t="s">
        <v>617</v>
      </c>
      <c r="C4940" s="89">
        <v>1077802</v>
      </c>
      <c r="D4940" s="89" t="s">
        <v>666</v>
      </c>
    </row>
    <row r="4941" spans="1:4" x14ac:dyDescent="0.25">
      <c r="A4941" s="89" t="s">
        <v>130</v>
      </c>
      <c r="B4941" s="89" t="s">
        <v>617</v>
      </c>
      <c r="C4941" s="89">
        <v>916234</v>
      </c>
      <c r="D4941" s="89" t="s">
        <v>666</v>
      </c>
    </row>
    <row r="4942" spans="1:4" x14ac:dyDescent="0.25">
      <c r="A4942" s="89" t="s">
        <v>130</v>
      </c>
      <c r="B4942" s="89" t="s">
        <v>617</v>
      </c>
      <c r="C4942" s="89">
        <v>1690471</v>
      </c>
      <c r="D4942" s="89" t="s">
        <v>666</v>
      </c>
    </row>
    <row r="4943" spans="1:4" x14ac:dyDescent="0.25">
      <c r="A4943" s="89" t="s">
        <v>130</v>
      </c>
      <c r="B4943" s="89" t="s">
        <v>617</v>
      </c>
      <c r="C4943" s="89">
        <v>2824544.2</v>
      </c>
      <c r="D4943" s="89" t="s">
        <v>666</v>
      </c>
    </row>
    <row r="4944" spans="1:4" x14ac:dyDescent="0.25">
      <c r="A4944" s="89" t="s">
        <v>130</v>
      </c>
      <c r="B4944" s="89" t="s">
        <v>617</v>
      </c>
      <c r="C4944" s="89">
        <v>976319.79</v>
      </c>
      <c r="D4944" s="89" t="s">
        <v>666</v>
      </c>
    </row>
    <row r="4945" spans="1:4" x14ac:dyDescent="0.25">
      <c r="A4945" s="89" t="s">
        <v>130</v>
      </c>
      <c r="B4945" s="89" t="s">
        <v>617</v>
      </c>
      <c r="C4945" s="89">
        <v>2660678.66</v>
      </c>
      <c r="D4945" s="89" t="s">
        <v>663</v>
      </c>
    </row>
    <row r="4946" spans="1:4" x14ac:dyDescent="0.25">
      <c r="A4946" s="89" t="s">
        <v>130</v>
      </c>
      <c r="B4946" s="89" t="s">
        <v>617</v>
      </c>
      <c r="C4946" s="89">
        <v>1959262.61</v>
      </c>
      <c r="D4946" s="89" t="s">
        <v>664</v>
      </c>
    </row>
    <row r="4947" spans="1:4" x14ac:dyDescent="0.25">
      <c r="A4947" s="89" t="s">
        <v>130</v>
      </c>
      <c r="B4947" s="89" t="s">
        <v>617</v>
      </c>
      <c r="C4947" s="89">
        <v>1563108</v>
      </c>
      <c r="D4947" s="89" t="s">
        <v>663</v>
      </c>
    </row>
    <row r="4948" spans="1:4" x14ac:dyDescent="0.25">
      <c r="A4948" s="89" t="s">
        <v>130</v>
      </c>
      <c r="B4948" s="89" t="s">
        <v>617</v>
      </c>
      <c r="C4948" s="89">
        <v>9188286</v>
      </c>
      <c r="D4948" s="89" t="s">
        <v>663</v>
      </c>
    </row>
    <row r="4949" spans="1:4" x14ac:dyDescent="0.25">
      <c r="A4949" s="89" t="s">
        <v>130</v>
      </c>
      <c r="B4949" s="89" t="s">
        <v>617</v>
      </c>
      <c r="C4949" s="89">
        <v>1552344</v>
      </c>
      <c r="D4949" s="89" t="s">
        <v>663</v>
      </c>
    </row>
    <row r="4950" spans="1:4" x14ac:dyDescent="0.25">
      <c r="A4950" s="89" t="s">
        <v>130</v>
      </c>
      <c r="B4950" s="89" t="s">
        <v>617</v>
      </c>
      <c r="C4950" s="89">
        <v>639408</v>
      </c>
      <c r="D4950" s="89" t="s">
        <v>666</v>
      </c>
    </row>
    <row r="4951" spans="1:4" x14ac:dyDescent="0.25">
      <c r="A4951" s="89" t="s">
        <v>130</v>
      </c>
      <c r="B4951" s="89" t="s">
        <v>617</v>
      </c>
      <c r="C4951" s="89">
        <v>5639736</v>
      </c>
      <c r="D4951" s="89" t="s">
        <v>663</v>
      </c>
    </row>
    <row r="4952" spans="1:4" x14ac:dyDescent="0.25">
      <c r="A4952" s="89" t="s">
        <v>130</v>
      </c>
      <c r="B4952" s="89" t="s">
        <v>617</v>
      </c>
      <c r="C4952" s="89">
        <v>6482615</v>
      </c>
      <c r="D4952" s="89" t="s">
        <v>664</v>
      </c>
    </row>
    <row r="4953" spans="1:4" x14ac:dyDescent="0.25">
      <c r="A4953" s="89" t="s">
        <v>130</v>
      </c>
      <c r="B4953" s="89" t="s">
        <v>617</v>
      </c>
      <c r="C4953" s="89">
        <v>3339555</v>
      </c>
      <c r="D4953" s="89" t="s">
        <v>664</v>
      </c>
    </row>
    <row r="4954" spans="1:4" x14ac:dyDescent="0.25">
      <c r="A4954" s="89" t="s">
        <v>130</v>
      </c>
      <c r="B4954" s="89" t="s">
        <v>617</v>
      </c>
      <c r="C4954" s="89">
        <v>950621</v>
      </c>
      <c r="D4954" s="89" t="s">
        <v>663</v>
      </c>
    </row>
    <row r="4955" spans="1:4" x14ac:dyDescent="0.25">
      <c r="A4955" s="89" t="s">
        <v>130</v>
      </c>
      <c r="B4955" s="89" t="s">
        <v>617</v>
      </c>
      <c r="C4955" s="89">
        <v>211762.27</v>
      </c>
      <c r="D4955" s="89" t="s">
        <v>666</v>
      </c>
    </row>
    <row r="4956" spans="1:4" x14ac:dyDescent="0.25">
      <c r="A4956" s="89" t="s">
        <v>130</v>
      </c>
      <c r="B4956" s="89" t="s">
        <v>617</v>
      </c>
      <c r="C4956" s="89">
        <v>2997560</v>
      </c>
      <c r="D4956" s="89" t="s">
        <v>663</v>
      </c>
    </row>
    <row r="4957" spans="1:4" x14ac:dyDescent="0.25">
      <c r="A4957" s="89" t="s">
        <v>130</v>
      </c>
      <c r="B4957" s="89" t="s">
        <v>617</v>
      </c>
      <c r="C4957" s="89">
        <v>1805960</v>
      </c>
      <c r="D4957" s="89" t="s">
        <v>664</v>
      </c>
    </row>
    <row r="4958" spans="1:4" x14ac:dyDescent="0.25">
      <c r="A4958" s="89" t="s">
        <v>130</v>
      </c>
      <c r="B4958" s="89" t="s">
        <v>617</v>
      </c>
      <c r="C4958" s="89">
        <v>1465230.61</v>
      </c>
      <c r="D4958" s="89" t="s">
        <v>666</v>
      </c>
    </row>
    <row r="4959" spans="1:4" x14ac:dyDescent="0.25">
      <c r="A4959" s="89" t="s">
        <v>130</v>
      </c>
      <c r="B4959" s="89" t="s">
        <v>617</v>
      </c>
      <c r="C4959" s="89">
        <v>277173.69</v>
      </c>
      <c r="D4959" s="89" t="s">
        <v>666</v>
      </c>
    </row>
    <row r="4960" spans="1:4" x14ac:dyDescent="0.25">
      <c r="A4960" s="89" t="s">
        <v>130</v>
      </c>
      <c r="B4960" s="89" t="s">
        <v>617</v>
      </c>
      <c r="C4960" s="89">
        <v>4682032</v>
      </c>
      <c r="D4960" s="89" t="s">
        <v>664</v>
      </c>
    </row>
    <row r="4961" spans="1:4" x14ac:dyDescent="0.25">
      <c r="A4961" s="89" t="s">
        <v>130</v>
      </c>
      <c r="B4961" s="89" t="s">
        <v>617</v>
      </c>
      <c r="C4961" s="89">
        <v>1557645</v>
      </c>
      <c r="D4961" s="89" t="s">
        <v>666</v>
      </c>
    </row>
    <row r="4962" spans="1:4" x14ac:dyDescent="0.25">
      <c r="A4962" s="89" t="s">
        <v>130</v>
      </c>
      <c r="B4962" s="89" t="s">
        <v>617</v>
      </c>
      <c r="C4962" s="89">
        <v>1228456.21</v>
      </c>
      <c r="D4962" s="89" t="s">
        <v>666</v>
      </c>
    </row>
    <row r="4963" spans="1:4" x14ac:dyDescent="0.25">
      <c r="A4963" s="89" t="s">
        <v>130</v>
      </c>
      <c r="B4963" s="89" t="s">
        <v>617</v>
      </c>
      <c r="C4963" s="89">
        <v>1929876.02</v>
      </c>
      <c r="D4963" s="89" t="s">
        <v>663</v>
      </c>
    </row>
    <row r="4964" spans="1:4" x14ac:dyDescent="0.25">
      <c r="A4964" s="89" t="s">
        <v>130</v>
      </c>
      <c r="B4964" s="89" t="s">
        <v>617</v>
      </c>
      <c r="C4964" s="89">
        <v>3784479.7</v>
      </c>
      <c r="D4964" s="89" t="s">
        <v>664</v>
      </c>
    </row>
    <row r="4965" spans="1:4" x14ac:dyDescent="0.25">
      <c r="A4965" s="89" t="s">
        <v>130</v>
      </c>
      <c r="B4965" s="89" t="s">
        <v>617</v>
      </c>
      <c r="C4965" s="89">
        <v>353923.92</v>
      </c>
      <c r="D4965" s="89" t="s">
        <v>666</v>
      </c>
    </row>
    <row r="4966" spans="1:4" x14ac:dyDescent="0.25">
      <c r="A4966" s="89" t="s">
        <v>130</v>
      </c>
      <c r="B4966" s="89" t="s">
        <v>617</v>
      </c>
      <c r="C4966" s="89">
        <v>6207872.5499999998</v>
      </c>
      <c r="D4966" s="89" t="s">
        <v>666</v>
      </c>
    </row>
    <row r="4967" spans="1:4" x14ac:dyDescent="0.25">
      <c r="A4967" s="89" t="s">
        <v>130</v>
      </c>
      <c r="B4967" s="89" t="s">
        <v>617</v>
      </c>
      <c r="C4967" s="89">
        <v>730396.51</v>
      </c>
      <c r="D4967" s="89" t="s">
        <v>666</v>
      </c>
    </row>
    <row r="4968" spans="1:4" x14ac:dyDescent="0.25">
      <c r="A4968" s="89" t="s">
        <v>130</v>
      </c>
      <c r="B4968" s="89" t="s">
        <v>617</v>
      </c>
      <c r="C4968" s="89">
        <v>3121011.89</v>
      </c>
      <c r="D4968" s="89" t="s">
        <v>666</v>
      </c>
    </row>
    <row r="4969" spans="1:4" x14ac:dyDescent="0.25">
      <c r="A4969" s="89" t="s">
        <v>130</v>
      </c>
      <c r="B4969" s="89" t="s">
        <v>617</v>
      </c>
      <c r="C4969" s="89">
        <v>497965.14</v>
      </c>
      <c r="D4969" s="89" t="s">
        <v>666</v>
      </c>
    </row>
    <row r="4970" spans="1:4" x14ac:dyDescent="0.25">
      <c r="A4970" s="89" t="s">
        <v>130</v>
      </c>
      <c r="B4970" s="89" t="s">
        <v>617</v>
      </c>
      <c r="C4970" s="89">
        <v>1883720</v>
      </c>
      <c r="D4970" s="89" t="s">
        <v>664</v>
      </c>
    </row>
    <row r="4971" spans="1:4" x14ac:dyDescent="0.25">
      <c r="A4971" s="89" t="s">
        <v>130</v>
      </c>
      <c r="B4971" s="89" t="s">
        <v>617</v>
      </c>
      <c r="C4971" s="89">
        <v>1625093</v>
      </c>
      <c r="D4971" s="89" t="s">
        <v>663</v>
      </c>
    </row>
    <row r="4972" spans="1:4" x14ac:dyDescent="0.25">
      <c r="A4972" s="89" t="s">
        <v>130</v>
      </c>
      <c r="B4972" s="89" t="s">
        <v>617</v>
      </c>
      <c r="C4972" s="89">
        <v>7446807.5199999996</v>
      </c>
      <c r="D4972" s="89" t="s">
        <v>663</v>
      </c>
    </row>
    <row r="4973" spans="1:4" x14ac:dyDescent="0.25">
      <c r="A4973" s="89" t="s">
        <v>130</v>
      </c>
      <c r="B4973" s="89" t="s">
        <v>617</v>
      </c>
      <c r="C4973" s="89">
        <v>961636.82</v>
      </c>
      <c r="D4973" s="89" t="s">
        <v>664</v>
      </c>
    </row>
    <row r="4974" spans="1:4" x14ac:dyDescent="0.25">
      <c r="A4974" s="89" t="s">
        <v>130</v>
      </c>
      <c r="B4974" s="89" t="s">
        <v>617</v>
      </c>
      <c r="C4974" s="89">
        <v>598851.77</v>
      </c>
      <c r="D4974" s="89" t="s">
        <v>666</v>
      </c>
    </row>
    <row r="4975" spans="1:4" x14ac:dyDescent="0.25">
      <c r="A4975" s="89" t="s">
        <v>129</v>
      </c>
      <c r="B4975" s="89" t="s">
        <v>615</v>
      </c>
      <c r="C4975" s="89">
        <v>3105823</v>
      </c>
      <c r="D4975" s="89" t="s">
        <v>670</v>
      </c>
    </row>
    <row r="4976" spans="1:4" x14ac:dyDescent="0.25">
      <c r="A4976" s="89" t="s">
        <v>129</v>
      </c>
      <c r="B4976" s="89" t="s">
        <v>615</v>
      </c>
      <c r="C4976" s="89">
        <v>1426375</v>
      </c>
      <c r="D4976" s="89" t="s">
        <v>670</v>
      </c>
    </row>
    <row r="4977" spans="1:4" x14ac:dyDescent="0.25">
      <c r="A4977" s="89" t="s">
        <v>129</v>
      </c>
      <c r="B4977" s="89" t="s">
        <v>615</v>
      </c>
      <c r="C4977" s="89">
        <v>2340334</v>
      </c>
      <c r="D4977" s="89" t="s">
        <v>670</v>
      </c>
    </row>
    <row r="4978" spans="1:4" x14ac:dyDescent="0.25">
      <c r="A4978" s="89" t="s">
        <v>129</v>
      </c>
      <c r="B4978" s="89" t="s">
        <v>615</v>
      </c>
      <c r="C4978" s="89">
        <v>1800872</v>
      </c>
      <c r="D4978" s="89" t="s">
        <v>663</v>
      </c>
    </row>
    <row r="4979" spans="1:4" x14ac:dyDescent="0.25">
      <c r="A4979" s="89" t="s">
        <v>129</v>
      </c>
      <c r="B4979" s="89" t="s">
        <v>615</v>
      </c>
      <c r="C4979" s="89">
        <v>4488872</v>
      </c>
      <c r="D4979" s="89" t="s">
        <v>663</v>
      </c>
    </row>
    <row r="4980" spans="1:4" x14ac:dyDescent="0.25">
      <c r="A4980" s="89" t="s">
        <v>129</v>
      </c>
      <c r="B4980" s="89" t="s">
        <v>615</v>
      </c>
      <c r="C4980" s="89">
        <v>3008667</v>
      </c>
      <c r="D4980" s="89" t="s">
        <v>670</v>
      </c>
    </row>
    <row r="4981" spans="1:4" x14ac:dyDescent="0.25">
      <c r="A4981" s="89" t="s">
        <v>129</v>
      </c>
      <c r="B4981" s="89" t="s">
        <v>615</v>
      </c>
      <c r="C4981" s="89">
        <v>3793203</v>
      </c>
      <c r="D4981" s="89" t="s">
        <v>663</v>
      </c>
    </row>
    <row r="4982" spans="1:4" x14ac:dyDescent="0.25">
      <c r="A4982" s="89" t="s">
        <v>129</v>
      </c>
      <c r="B4982" s="89" t="s">
        <v>615</v>
      </c>
      <c r="C4982" s="89">
        <v>1156261</v>
      </c>
      <c r="D4982" s="89" t="s">
        <v>670</v>
      </c>
    </row>
    <row r="4983" spans="1:4" x14ac:dyDescent="0.25">
      <c r="A4983" s="89" t="s">
        <v>129</v>
      </c>
      <c r="B4983" s="89" t="s">
        <v>615</v>
      </c>
      <c r="C4983" s="89">
        <v>1778516</v>
      </c>
      <c r="D4983" s="89" t="s">
        <v>670</v>
      </c>
    </row>
    <row r="4984" spans="1:4" x14ac:dyDescent="0.25">
      <c r="A4984" s="89" t="s">
        <v>129</v>
      </c>
      <c r="B4984" s="89" t="s">
        <v>615</v>
      </c>
      <c r="C4984" s="89">
        <v>1374000</v>
      </c>
      <c r="D4984" s="89" t="s">
        <v>670</v>
      </c>
    </row>
    <row r="4985" spans="1:4" x14ac:dyDescent="0.25">
      <c r="A4985" s="89" t="s">
        <v>129</v>
      </c>
      <c r="B4985" s="89" t="s">
        <v>615</v>
      </c>
      <c r="C4985" s="89">
        <v>2667774</v>
      </c>
      <c r="D4985" s="89" t="s">
        <v>670</v>
      </c>
    </row>
    <row r="4986" spans="1:4" x14ac:dyDescent="0.25">
      <c r="A4986" s="89" t="s">
        <v>129</v>
      </c>
      <c r="B4986" s="89" t="s">
        <v>615</v>
      </c>
      <c r="C4986" s="89">
        <v>6000000</v>
      </c>
      <c r="D4986" s="89" t="s">
        <v>670</v>
      </c>
    </row>
    <row r="4987" spans="1:4" x14ac:dyDescent="0.25">
      <c r="A4987" s="89" t="s">
        <v>129</v>
      </c>
      <c r="B4987" s="89" t="s">
        <v>615</v>
      </c>
      <c r="C4987" s="89">
        <v>2839423</v>
      </c>
      <c r="D4987" s="89" t="s">
        <v>670</v>
      </c>
    </row>
    <row r="4988" spans="1:4" x14ac:dyDescent="0.25">
      <c r="A4988" s="89" t="s">
        <v>129</v>
      </c>
      <c r="B4988" s="89" t="s">
        <v>615</v>
      </c>
      <c r="C4988" s="89">
        <v>14286146.65</v>
      </c>
      <c r="D4988" s="89" t="s">
        <v>670</v>
      </c>
    </row>
    <row r="4989" spans="1:4" x14ac:dyDescent="0.25">
      <c r="A4989" s="89" t="s">
        <v>129</v>
      </c>
      <c r="B4989" s="89" t="s">
        <v>615</v>
      </c>
      <c r="C4989" s="89">
        <v>11270127.720000001</v>
      </c>
      <c r="D4989" s="89" t="s">
        <v>663</v>
      </c>
    </row>
    <row r="4990" spans="1:4" x14ac:dyDescent="0.25">
      <c r="A4990" s="89" t="s">
        <v>129</v>
      </c>
      <c r="B4990" s="89" t="s">
        <v>615</v>
      </c>
      <c r="C4990" s="89">
        <v>10055156.15</v>
      </c>
      <c r="D4990" s="89" t="s">
        <v>663</v>
      </c>
    </row>
    <row r="4991" spans="1:4" x14ac:dyDescent="0.25">
      <c r="A4991" s="89" t="s">
        <v>129</v>
      </c>
      <c r="B4991" s="89" t="s">
        <v>615</v>
      </c>
      <c r="C4991" s="89">
        <v>4279832.72</v>
      </c>
      <c r="D4991" s="89" t="s">
        <v>663</v>
      </c>
    </row>
    <row r="4992" spans="1:4" x14ac:dyDescent="0.25">
      <c r="A4992" s="89" t="s">
        <v>129</v>
      </c>
      <c r="B4992" s="89" t="s">
        <v>615</v>
      </c>
      <c r="C4992" s="89">
        <v>4165579.16</v>
      </c>
      <c r="D4992" s="89" t="s">
        <v>670</v>
      </c>
    </row>
    <row r="4993" spans="1:4" x14ac:dyDescent="0.25">
      <c r="A4993" s="89" t="s">
        <v>129</v>
      </c>
      <c r="B4993" s="89" t="s">
        <v>615</v>
      </c>
      <c r="C4993" s="89">
        <v>141415.37</v>
      </c>
      <c r="D4993" s="89" t="s">
        <v>670</v>
      </c>
    </row>
    <row r="4994" spans="1:4" x14ac:dyDescent="0.25">
      <c r="A4994" s="89" t="s">
        <v>129</v>
      </c>
      <c r="B4994" s="89" t="s">
        <v>615</v>
      </c>
      <c r="C4994" s="89">
        <v>2164076.4900000002</v>
      </c>
      <c r="D4994" s="89" t="s">
        <v>663</v>
      </c>
    </row>
    <row r="4995" spans="1:4" x14ac:dyDescent="0.25">
      <c r="A4995" s="89" t="s">
        <v>129</v>
      </c>
      <c r="B4995" s="89" t="s">
        <v>615</v>
      </c>
      <c r="C4995" s="89">
        <v>6951188</v>
      </c>
      <c r="D4995" s="89" t="s">
        <v>663</v>
      </c>
    </row>
    <row r="4996" spans="1:4" x14ac:dyDescent="0.25">
      <c r="A4996" s="89" t="s">
        <v>129</v>
      </c>
      <c r="B4996" s="89" t="s">
        <v>615</v>
      </c>
      <c r="C4996" s="89">
        <v>14609470.59</v>
      </c>
      <c r="D4996" s="89" t="s">
        <v>663</v>
      </c>
    </row>
    <row r="4997" spans="1:4" x14ac:dyDescent="0.25">
      <c r="A4997" s="89" t="s">
        <v>129</v>
      </c>
      <c r="B4997" s="89" t="s">
        <v>615</v>
      </c>
      <c r="C4997" s="89">
        <v>3959575</v>
      </c>
      <c r="D4997" s="89" t="s">
        <v>663</v>
      </c>
    </row>
    <row r="4998" spans="1:4" x14ac:dyDescent="0.25">
      <c r="A4998" s="89" t="s">
        <v>129</v>
      </c>
      <c r="B4998" s="89" t="s">
        <v>615</v>
      </c>
      <c r="C4998" s="89">
        <v>832886.78</v>
      </c>
      <c r="D4998" s="89" t="s">
        <v>670</v>
      </c>
    </row>
    <row r="4999" spans="1:4" x14ac:dyDescent="0.25">
      <c r="A4999" s="89" t="s">
        <v>129</v>
      </c>
      <c r="B4999" s="89" t="s">
        <v>615</v>
      </c>
      <c r="C4999" s="89">
        <v>7143093</v>
      </c>
      <c r="D4999" s="89" t="s">
        <v>663</v>
      </c>
    </row>
    <row r="5000" spans="1:4" x14ac:dyDescent="0.25">
      <c r="A5000" s="89" t="s">
        <v>129</v>
      </c>
      <c r="B5000" s="89" t="s">
        <v>615</v>
      </c>
      <c r="C5000" s="89">
        <v>4426410.1500000004</v>
      </c>
      <c r="D5000" s="89" t="s">
        <v>663</v>
      </c>
    </row>
    <row r="5001" spans="1:4" x14ac:dyDescent="0.25">
      <c r="A5001" s="89" t="s">
        <v>129</v>
      </c>
      <c r="B5001" s="89" t="s">
        <v>615</v>
      </c>
      <c r="C5001" s="89">
        <v>4447563.41</v>
      </c>
      <c r="D5001" s="89" t="s">
        <v>670</v>
      </c>
    </row>
    <row r="5002" spans="1:4" x14ac:dyDescent="0.25">
      <c r="A5002" s="89" t="s">
        <v>129</v>
      </c>
      <c r="B5002" s="89" t="s">
        <v>615</v>
      </c>
      <c r="C5002" s="89">
        <v>5267183.91</v>
      </c>
      <c r="D5002" s="89" t="s">
        <v>670</v>
      </c>
    </row>
    <row r="5003" spans="1:4" x14ac:dyDescent="0.25">
      <c r="A5003" s="89" t="s">
        <v>129</v>
      </c>
      <c r="B5003" s="89" t="s">
        <v>615</v>
      </c>
      <c r="C5003" s="89">
        <v>3701015.15</v>
      </c>
      <c r="D5003" s="89" t="s">
        <v>663</v>
      </c>
    </row>
    <row r="5004" spans="1:4" x14ac:dyDescent="0.25">
      <c r="A5004" s="89" t="s">
        <v>129</v>
      </c>
      <c r="B5004" s="89" t="s">
        <v>615</v>
      </c>
      <c r="C5004" s="89">
        <v>7916585.6799999997</v>
      </c>
      <c r="D5004" s="89" t="s">
        <v>663</v>
      </c>
    </row>
    <row r="5005" spans="1:4" x14ac:dyDescent="0.25">
      <c r="A5005" s="89" t="s">
        <v>129</v>
      </c>
      <c r="B5005" s="89" t="s">
        <v>615</v>
      </c>
      <c r="C5005" s="89">
        <v>5438510</v>
      </c>
      <c r="D5005" s="89" t="s">
        <v>663</v>
      </c>
    </row>
    <row r="5006" spans="1:4" x14ac:dyDescent="0.25">
      <c r="A5006" s="89" t="s">
        <v>129</v>
      </c>
      <c r="B5006" s="89" t="s">
        <v>615</v>
      </c>
      <c r="C5006" s="89">
        <v>12873456</v>
      </c>
      <c r="D5006" s="89" t="s">
        <v>670</v>
      </c>
    </row>
    <row r="5007" spans="1:4" x14ac:dyDescent="0.25">
      <c r="A5007" s="89" t="s">
        <v>129</v>
      </c>
      <c r="B5007" s="89" t="s">
        <v>615</v>
      </c>
      <c r="C5007" s="89">
        <v>764444</v>
      </c>
      <c r="D5007" s="89" t="s">
        <v>670</v>
      </c>
    </row>
    <row r="5008" spans="1:4" x14ac:dyDescent="0.25">
      <c r="A5008" s="89" t="s">
        <v>129</v>
      </c>
      <c r="B5008" s="89" t="s">
        <v>615</v>
      </c>
      <c r="C5008" s="89">
        <v>400000</v>
      </c>
      <c r="D5008" s="89" t="s">
        <v>670</v>
      </c>
    </row>
    <row r="5009" spans="1:4" x14ac:dyDescent="0.25">
      <c r="A5009" s="89" t="s">
        <v>129</v>
      </c>
      <c r="B5009" s="89" t="s">
        <v>615</v>
      </c>
      <c r="C5009" s="89">
        <v>5729444</v>
      </c>
      <c r="D5009" s="89" t="s">
        <v>663</v>
      </c>
    </row>
    <row r="5010" spans="1:4" x14ac:dyDescent="0.25">
      <c r="A5010" s="89" t="s">
        <v>129</v>
      </c>
      <c r="B5010" s="89" t="s">
        <v>615</v>
      </c>
      <c r="C5010" s="89">
        <v>3046087</v>
      </c>
      <c r="D5010" s="89" t="s">
        <v>670</v>
      </c>
    </row>
    <row r="5011" spans="1:4" x14ac:dyDescent="0.25">
      <c r="A5011" s="89" t="s">
        <v>129</v>
      </c>
      <c r="B5011" s="89" t="s">
        <v>615</v>
      </c>
      <c r="C5011" s="89">
        <v>1589556</v>
      </c>
      <c r="D5011" s="89" t="s">
        <v>670</v>
      </c>
    </row>
    <row r="5012" spans="1:4" x14ac:dyDescent="0.25">
      <c r="A5012" s="89" t="s">
        <v>129</v>
      </c>
      <c r="B5012" s="89" t="s">
        <v>615</v>
      </c>
      <c r="C5012" s="89">
        <v>11540005</v>
      </c>
      <c r="D5012" s="89" t="s">
        <v>663</v>
      </c>
    </row>
    <row r="5013" spans="1:4" x14ac:dyDescent="0.25">
      <c r="A5013" s="89" t="s">
        <v>129</v>
      </c>
      <c r="B5013" s="89" t="s">
        <v>615</v>
      </c>
      <c r="C5013" s="89">
        <v>1492759.92</v>
      </c>
      <c r="D5013" s="89" t="s">
        <v>670</v>
      </c>
    </row>
    <row r="5014" spans="1:4" x14ac:dyDescent="0.25">
      <c r="A5014" s="89" t="s">
        <v>129</v>
      </c>
      <c r="B5014" s="89" t="s">
        <v>615</v>
      </c>
      <c r="C5014" s="89">
        <v>1300000</v>
      </c>
      <c r="D5014" s="89" t="s">
        <v>663</v>
      </c>
    </row>
    <row r="5015" spans="1:4" x14ac:dyDescent="0.25">
      <c r="A5015" s="89" t="s">
        <v>129</v>
      </c>
      <c r="B5015" s="89" t="s">
        <v>615</v>
      </c>
      <c r="C5015" s="89">
        <v>7848441.1299999999</v>
      </c>
      <c r="D5015" s="89" t="s">
        <v>670</v>
      </c>
    </row>
    <row r="5016" spans="1:4" x14ac:dyDescent="0.25">
      <c r="A5016" s="89" t="s">
        <v>129</v>
      </c>
      <c r="B5016" s="89" t="s">
        <v>615</v>
      </c>
      <c r="C5016" s="89">
        <v>3200000</v>
      </c>
      <c r="D5016" s="89" t="s">
        <v>663</v>
      </c>
    </row>
    <row r="5017" spans="1:4" x14ac:dyDescent="0.25">
      <c r="A5017" s="89" t="s">
        <v>129</v>
      </c>
      <c r="B5017" s="89" t="s">
        <v>615</v>
      </c>
      <c r="C5017" s="89">
        <v>1677895</v>
      </c>
      <c r="D5017" s="89" t="s">
        <v>670</v>
      </c>
    </row>
    <row r="5018" spans="1:4" x14ac:dyDescent="0.25">
      <c r="A5018" s="89" t="s">
        <v>129</v>
      </c>
      <c r="B5018" s="89" t="s">
        <v>615</v>
      </c>
      <c r="C5018" s="89">
        <v>2636432.98</v>
      </c>
      <c r="D5018" s="89" t="s">
        <v>670</v>
      </c>
    </row>
    <row r="5019" spans="1:4" x14ac:dyDescent="0.25">
      <c r="A5019" s="89" t="s">
        <v>129</v>
      </c>
      <c r="B5019" s="89" t="s">
        <v>615</v>
      </c>
      <c r="C5019" s="89">
        <v>10464749</v>
      </c>
      <c r="D5019" s="89" t="s">
        <v>663</v>
      </c>
    </row>
    <row r="5020" spans="1:4" x14ac:dyDescent="0.25">
      <c r="A5020" s="89" t="s">
        <v>129</v>
      </c>
      <c r="B5020" s="89" t="s">
        <v>615</v>
      </c>
      <c r="C5020" s="89">
        <v>924149</v>
      </c>
      <c r="D5020" s="89" t="s">
        <v>663</v>
      </c>
    </row>
    <row r="5021" spans="1:4" x14ac:dyDescent="0.25">
      <c r="A5021" s="89" t="s">
        <v>129</v>
      </c>
      <c r="B5021" s="89" t="s">
        <v>615</v>
      </c>
      <c r="C5021" s="89">
        <v>1222523</v>
      </c>
      <c r="D5021" s="89" t="s">
        <v>663</v>
      </c>
    </row>
    <row r="5022" spans="1:4" x14ac:dyDescent="0.25">
      <c r="A5022" s="89" t="s">
        <v>129</v>
      </c>
      <c r="B5022" s="89" t="s">
        <v>615</v>
      </c>
      <c r="C5022" s="89">
        <v>1335592</v>
      </c>
      <c r="D5022" s="89" t="s">
        <v>663</v>
      </c>
    </row>
    <row r="5023" spans="1:4" x14ac:dyDescent="0.25">
      <c r="A5023" s="89" t="s">
        <v>129</v>
      </c>
      <c r="B5023" s="89" t="s">
        <v>615</v>
      </c>
      <c r="C5023" s="89">
        <v>9658765.4399999995</v>
      </c>
      <c r="D5023" s="89" t="s">
        <v>663</v>
      </c>
    </row>
    <row r="5024" spans="1:4" x14ac:dyDescent="0.25">
      <c r="A5024" s="89" t="s">
        <v>129</v>
      </c>
      <c r="B5024" s="89" t="s">
        <v>615</v>
      </c>
      <c r="C5024" s="89">
        <v>7689714.2400000002</v>
      </c>
      <c r="D5024" s="89" t="s">
        <v>663</v>
      </c>
    </row>
    <row r="5025" spans="1:4" x14ac:dyDescent="0.25">
      <c r="A5025" s="89" t="s">
        <v>129</v>
      </c>
      <c r="B5025" s="89" t="s">
        <v>615</v>
      </c>
      <c r="C5025" s="89">
        <v>6623846.6200000001</v>
      </c>
      <c r="D5025" s="89" t="s">
        <v>663</v>
      </c>
    </row>
    <row r="5026" spans="1:4" x14ac:dyDescent="0.25">
      <c r="A5026" s="89" t="s">
        <v>129</v>
      </c>
      <c r="B5026" s="89" t="s">
        <v>615</v>
      </c>
      <c r="C5026" s="89">
        <v>-415154.97</v>
      </c>
      <c r="D5026" s="89" t="s">
        <v>670</v>
      </c>
    </row>
    <row r="5027" spans="1:4" x14ac:dyDescent="0.25">
      <c r="A5027" s="89" t="s">
        <v>129</v>
      </c>
      <c r="B5027" s="89" t="s">
        <v>615</v>
      </c>
      <c r="C5027" s="89">
        <v>3444238.19</v>
      </c>
      <c r="D5027" s="89" t="s">
        <v>663</v>
      </c>
    </row>
    <row r="5028" spans="1:4" x14ac:dyDescent="0.25">
      <c r="A5028" s="89" t="s">
        <v>22</v>
      </c>
      <c r="B5028" s="89" t="s">
        <v>616</v>
      </c>
      <c r="C5028" s="89">
        <v>122367</v>
      </c>
      <c r="D5028" s="89" t="s">
        <v>664</v>
      </c>
    </row>
    <row r="5029" spans="1:4" x14ac:dyDescent="0.25">
      <c r="A5029" s="89" t="s">
        <v>22</v>
      </c>
      <c r="B5029" s="89" t="s">
        <v>616</v>
      </c>
      <c r="C5029" s="89">
        <v>46516</v>
      </c>
      <c r="D5029" s="89" t="s">
        <v>666</v>
      </c>
    </row>
    <row r="5030" spans="1:4" x14ac:dyDescent="0.25">
      <c r="A5030" s="89" t="s">
        <v>22</v>
      </c>
      <c r="B5030" s="89" t="s">
        <v>616</v>
      </c>
      <c r="C5030" s="89">
        <v>476580</v>
      </c>
      <c r="D5030" s="89" t="s">
        <v>666</v>
      </c>
    </row>
    <row r="5031" spans="1:4" x14ac:dyDescent="0.25">
      <c r="A5031" s="89" t="s">
        <v>22</v>
      </c>
      <c r="B5031" s="89" t="s">
        <v>616</v>
      </c>
      <c r="C5031" s="89">
        <v>1204359</v>
      </c>
      <c r="D5031" s="89" t="s">
        <v>664</v>
      </c>
    </row>
    <row r="5032" spans="1:4" x14ac:dyDescent="0.25">
      <c r="A5032" s="89" t="s">
        <v>22</v>
      </c>
      <c r="B5032" s="89" t="s">
        <v>616</v>
      </c>
      <c r="C5032" s="89">
        <v>54241</v>
      </c>
      <c r="D5032" s="89" t="s">
        <v>666</v>
      </c>
    </row>
    <row r="5033" spans="1:4" x14ac:dyDescent="0.25">
      <c r="A5033" s="89" t="s">
        <v>22</v>
      </c>
      <c r="B5033" s="89" t="s">
        <v>616</v>
      </c>
      <c r="C5033" s="89">
        <v>128975</v>
      </c>
      <c r="D5033" s="89" t="s">
        <v>664</v>
      </c>
    </row>
    <row r="5034" spans="1:4" x14ac:dyDescent="0.25">
      <c r="A5034" s="89" t="s">
        <v>22</v>
      </c>
      <c r="B5034" s="89" t="s">
        <v>616</v>
      </c>
      <c r="C5034" s="89">
        <v>1457512</v>
      </c>
      <c r="D5034" s="89" t="s">
        <v>664</v>
      </c>
    </row>
    <row r="5035" spans="1:4" x14ac:dyDescent="0.25">
      <c r="A5035" s="89" t="s">
        <v>22</v>
      </c>
      <c r="B5035" s="89" t="s">
        <v>616</v>
      </c>
      <c r="C5035" s="89">
        <v>248986</v>
      </c>
      <c r="D5035" s="89" t="s">
        <v>664</v>
      </c>
    </row>
    <row r="5036" spans="1:4" x14ac:dyDescent="0.25">
      <c r="A5036" s="89" t="s">
        <v>22</v>
      </c>
      <c r="B5036" s="89" t="s">
        <v>616</v>
      </c>
      <c r="C5036" s="89">
        <v>567358</v>
      </c>
      <c r="D5036" s="89" t="s">
        <v>666</v>
      </c>
    </row>
    <row r="5037" spans="1:4" x14ac:dyDescent="0.25">
      <c r="A5037" s="89" t="s">
        <v>22</v>
      </c>
      <c r="B5037" s="89" t="s">
        <v>616</v>
      </c>
      <c r="C5037" s="89">
        <v>663834</v>
      </c>
      <c r="D5037" s="89" t="s">
        <v>666</v>
      </c>
    </row>
    <row r="5038" spans="1:4" x14ac:dyDescent="0.25">
      <c r="A5038" s="89" t="s">
        <v>22</v>
      </c>
      <c r="B5038" s="89" t="s">
        <v>616</v>
      </c>
      <c r="C5038" s="89">
        <v>182214</v>
      </c>
      <c r="D5038" s="89" t="s">
        <v>664</v>
      </c>
    </row>
    <row r="5039" spans="1:4" x14ac:dyDescent="0.25">
      <c r="A5039" s="89" t="s">
        <v>22</v>
      </c>
      <c r="B5039" s="89" t="s">
        <v>616</v>
      </c>
      <c r="C5039" s="89">
        <v>209893.34</v>
      </c>
      <c r="D5039" s="89" t="s">
        <v>664</v>
      </c>
    </row>
    <row r="5040" spans="1:4" x14ac:dyDescent="0.25">
      <c r="A5040" s="89" t="s">
        <v>22</v>
      </c>
      <c r="B5040" s="89" t="s">
        <v>616</v>
      </c>
      <c r="C5040" s="89">
        <v>364766.27</v>
      </c>
      <c r="D5040" s="89" t="s">
        <v>666</v>
      </c>
    </row>
    <row r="5041" spans="1:4" x14ac:dyDescent="0.25">
      <c r="A5041" s="89" t="s">
        <v>22</v>
      </c>
      <c r="B5041" s="89" t="s">
        <v>616</v>
      </c>
      <c r="C5041" s="89">
        <v>22525.4</v>
      </c>
      <c r="D5041" s="89" t="s">
        <v>664</v>
      </c>
    </row>
    <row r="5042" spans="1:4" x14ac:dyDescent="0.25">
      <c r="A5042" s="89" t="s">
        <v>22</v>
      </c>
      <c r="B5042" s="89" t="s">
        <v>616</v>
      </c>
      <c r="C5042" s="89">
        <v>300774.19</v>
      </c>
      <c r="D5042" s="89" t="s">
        <v>666</v>
      </c>
    </row>
    <row r="5043" spans="1:4" x14ac:dyDescent="0.25">
      <c r="A5043" s="89" t="s">
        <v>22</v>
      </c>
      <c r="B5043" s="89" t="s">
        <v>616</v>
      </c>
      <c r="C5043" s="89">
        <v>2278067</v>
      </c>
      <c r="D5043" s="89" t="s">
        <v>664</v>
      </c>
    </row>
    <row r="5044" spans="1:4" x14ac:dyDescent="0.25">
      <c r="A5044" s="89" t="s">
        <v>22</v>
      </c>
      <c r="B5044" s="89" t="s">
        <v>616</v>
      </c>
      <c r="C5044" s="89">
        <v>1019833.79</v>
      </c>
      <c r="D5044" s="89" t="s">
        <v>664</v>
      </c>
    </row>
    <row r="5045" spans="1:4" x14ac:dyDescent="0.25">
      <c r="A5045" s="89" t="s">
        <v>22</v>
      </c>
      <c r="B5045" s="89" t="s">
        <v>616</v>
      </c>
      <c r="C5045" s="89">
        <v>436121</v>
      </c>
      <c r="D5045" s="89" t="s">
        <v>666</v>
      </c>
    </row>
    <row r="5046" spans="1:4" x14ac:dyDescent="0.25">
      <c r="A5046" s="89" t="s">
        <v>22</v>
      </c>
      <c r="B5046" s="89" t="s">
        <v>616</v>
      </c>
      <c r="C5046" s="89">
        <v>125605</v>
      </c>
      <c r="D5046" s="89" t="s">
        <v>664</v>
      </c>
    </row>
    <row r="5047" spans="1:4" x14ac:dyDescent="0.25">
      <c r="A5047" s="89" t="s">
        <v>22</v>
      </c>
      <c r="B5047" s="89" t="s">
        <v>616</v>
      </c>
      <c r="C5047" s="89">
        <v>355522</v>
      </c>
      <c r="D5047" s="89" t="s">
        <v>663</v>
      </c>
    </row>
    <row r="5048" spans="1:4" x14ac:dyDescent="0.25">
      <c r="A5048" s="89" t="s">
        <v>22</v>
      </c>
      <c r="B5048" s="89" t="s">
        <v>616</v>
      </c>
      <c r="C5048" s="89">
        <v>1836422</v>
      </c>
      <c r="D5048" s="89" t="s">
        <v>664</v>
      </c>
    </row>
    <row r="5049" spans="1:4" x14ac:dyDescent="0.25">
      <c r="A5049" s="89" t="s">
        <v>22</v>
      </c>
      <c r="B5049" s="89" t="s">
        <v>616</v>
      </c>
      <c r="C5049" s="89">
        <v>1236173</v>
      </c>
      <c r="D5049" s="89" t="s">
        <v>666</v>
      </c>
    </row>
    <row r="5050" spans="1:4" x14ac:dyDescent="0.25">
      <c r="A5050" s="89" t="s">
        <v>22</v>
      </c>
      <c r="B5050" s="89" t="s">
        <v>616</v>
      </c>
      <c r="C5050" s="89">
        <v>451469.21</v>
      </c>
      <c r="D5050" s="89" t="s">
        <v>664</v>
      </c>
    </row>
    <row r="5051" spans="1:4" x14ac:dyDescent="0.25">
      <c r="A5051" s="89" t="s">
        <v>22</v>
      </c>
      <c r="B5051" s="89" t="s">
        <v>616</v>
      </c>
      <c r="C5051" s="89">
        <v>532484</v>
      </c>
      <c r="D5051" s="89" t="s">
        <v>664</v>
      </c>
    </row>
    <row r="5052" spans="1:4" x14ac:dyDescent="0.25">
      <c r="A5052" s="89" t="s">
        <v>22</v>
      </c>
      <c r="B5052" s="89" t="s">
        <v>616</v>
      </c>
      <c r="C5052" s="89">
        <v>327151.59999999998</v>
      </c>
      <c r="D5052" s="89" t="s">
        <v>664</v>
      </c>
    </row>
    <row r="5053" spans="1:4" x14ac:dyDescent="0.25">
      <c r="A5053" s="89" t="s">
        <v>22</v>
      </c>
      <c r="B5053" s="89" t="s">
        <v>616</v>
      </c>
      <c r="C5053" s="89">
        <v>777044</v>
      </c>
      <c r="D5053" s="89" t="s">
        <v>664</v>
      </c>
    </row>
    <row r="5054" spans="1:4" x14ac:dyDescent="0.25">
      <c r="A5054" s="89" t="s">
        <v>22</v>
      </c>
      <c r="B5054" s="89" t="s">
        <v>616</v>
      </c>
      <c r="C5054" s="89">
        <v>368912.89</v>
      </c>
      <c r="D5054" s="89" t="s">
        <v>664</v>
      </c>
    </row>
    <row r="5055" spans="1:4" x14ac:dyDescent="0.25">
      <c r="A5055" s="89" t="s">
        <v>22</v>
      </c>
      <c r="B5055" s="89" t="s">
        <v>616</v>
      </c>
      <c r="C5055" s="89">
        <v>1359224</v>
      </c>
      <c r="D5055" s="89" t="s">
        <v>666</v>
      </c>
    </row>
    <row r="5056" spans="1:4" x14ac:dyDescent="0.25">
      <c r="A5056" s="89" t="s">
        <v>22</v>
      </c>
      <c r="B5056" s="89" t="s">
        <v>616</v>
      </c>
      <c r="C5056" s="89">
        <v>302600</v>
      </c>
      <c r="D5056" s="89" t="s">
        <v>663</v>
      </c>
    </row>
    <row r="5057" spans="1:4" x14ac:dyDescent="0.25">
      <c r="A5057" s="89" t="s">
        <v>22</v>
      </c>
      <c r="B5057" s="89" t="s">
        <v>616</v>
      </c>
      <c r="C5057" s="89">
        <v>50000</v>
      </c>
      <c r="D5057" s="89" t="s">
        <v>666</v>
      </c>
    </row>
    <row r="5058" spans="1:4" x14ac:dyDescent="0.25">
      <c r="A5058" s="89" t="s">
        <v>22</v>
      </c>
      <c r="B5058" s="89" t="s">
        <v>616</v>
      </c>
      <c r="C5058" s="89">
        <v>14025.38</v>
      </c>
      <c r="D5058" s="89" t="s">
        <v>666</v>
      </c>
    </row>
    <row r="5059" spans="1:4" x14ac:dyDescent="0.25">
      <c r="A5059" s="89" t="s">
        <v>22</v>
      </c>
      <c r="B5059" s="89" t="s">
        <v>616</v>
      </c>
      <c r="C5059" s="89">
        <v>92275</v>
      </c>
      <c r="D5059" s="89" t="s">
        <v>666</v>
      </c>
    </row>
    <row r="5060" spans="1:4" x14ac:dyDescent="0.25">
      <c r="A5060" s="89" t="s">
        <v>22</v>
      </c>
      <c r="B5060" s="89" t="s">
        <v>616</v>
      </c>
      <c r="C5060" s="89">
        <v>338567</v>
      </c>
      <c r="D5060" s="89" t="s">
        <v>664</v>
      </c>
    </row>
    <row r="5061" spans="1:4" x14ac:dyDescent="0.25">
      <c r="A5061" s="89" t="s">
        <v>22</v>
      </c>
      <c r="B5061" s="89" t="s">
        <v>616</v>
      </c>
      <c r="C5061" s="89">
        <v>176573</v>
      </c>
      <c r="D5061" s="89" t="s">
        <v>664</v>
      </c>
    </row>
    <row r="5062" spans="1:4" x14ac:dyDescent="0.25">
      <c r="A5062" s="89" t="s">
        <v>22</v>
      </c>
      <c r="B5062" s="89" t="s">
        <v>616</v>
      </c>
      <c r="C5062" s="89">
        <v>752893</v>
      </c>
      <c r="D5062" s="89" t="s">
        <v>664</v>
      </c>
    </row>
    <row r="5063" spans="1:4" x14ac:dyDescent="0.25">
      <c r="A5063" s="89" t="s">
        <v>22</v>
      </c>
      <c r="B5063" s="89" t="s">
        <v>616</v>
      </c>
      <c r="C5063" s="89">
        <v>478073</v>
      </c>
      <c r="D5063" s="89" t="s">
        <v>666</v>
      </c>
    </row>
    <row r="5064" spans="1:4" x14ac:dyDescent="0.25">
      <c r="A5064" s="89" t="s">
        <v>22</v>
      </c>
      <c r="B5064" s="89" t="s">
        <v>616</v>
      </c>
      <c r="C5064" s="89">
        <v>75260</v>
      </c>
      <c r="D5064" s="89" t="s">
        <v>666</v>
      </c>
    </row>
    <row r="5065" spans="1:4" x14ac:dyDescent="0.25">
      <c r="A5065" s="89" t="s">
        <v>22</v>
      </c>
      <c r="B5065" s="89" t="s">
        <v>616</v>
      </c>
      <c r="C5065" s="89">
        <v>265398</v>
      </c>
      <c r="D5065" s="89" t="s">
        <v>664</v>
      </c>
    </row>
    <row r="5066" spans="1:4" x14ac:dyDescent="0.25">
      <c r="A5066" s="89" t="s">
        <v>22</v>
      </c>
      <c r="B5066" s="89" t="s">
        <v>616</v>
      </c>
      <c r="C5066" s="89">
        <v>50000</v>
      </c>
      <c r="D5066" s="89" t="s">
        <v>666</v>
      </c>
    </row>
    <row r="5067" spans="1:4" x14ac:dyDescent="0.25">
      <c r="A5067" s="89" t="s">
        <v>22</v>
      </c>
      <c r="B5067" s="89" t="s">
        <v>616</v>
      </c>
      <c r="C5067" s="89">
        <v>1015728</v>
      </c>
      <c r="D5067" s="89" t="s">
        <v>664</v>
      </c>
    </row>
    <row r="5068" spans="1:4" x14ac:dyDescent="0.25">
      <c r="A5068" s="89" t="s">
        <v>22</v>
      </c>
      <c r="B5068" s="89" t="s">
        <v>616</v>
      </c>
      <c r="C5068" s="89">
        <v>953725.17</v>
      </c>
      <c r="D5068" s="89" t="s">
        <v>664</v>
      </c>
    </row>
    <row r="5069" spans="1:4" x14ac:dyDescent="0.25">
      <c r="A5069" s="89" t="s">
        <v>22</v>
      </c>
      <c r="B5069" s="89" t="s">
        <v>616</v>
      </c>
      <c r="C5069" s="89">
        <v>813815.47</v>
      </c>
      <c r="D5069" s="89" t="s">
        <v>664</v>
      </c>
    </row>
    <row r="5070" spans="1:4" x14ac:dyDescent="0.25">
      <c r="A5070" s="89" t="s">
        <v>22</v>
      </c>
      <c r="B5070" s="89" t="s">
        <v>616</v>
      </c>
      <c r="C5070" s="89">
        <v>21642.73</v>
      </c>
      <c r="D5070" s="89" t="s">
        <v>664</v>
      </c>
    </row>
    <row r="5071" spans="1:4" x14ac:dyDescent="0.25">
      <c r="A5071" s="89" t="s">
        <v>22</v>
      </c>
      <c r="B5071" s="89" t="s">
        <v>616</v>
      </c>
      <c r="C5071" s="89">
        <v>25971.279999999999</v>
      </c>
      <c r="D5071" s="89" t="s">
        <v>664</v>
      </c>
    </row>
    <row r="5072" spans="1:4" x14ac:dyDescent="0.25">
      <c r="A5072" s="89" t="s">
        <v>22</v>
      </c>
      <c r="B5072" s="89" t="s">
        <v>616</v>
      </c>
      <c r="C5072" s="89">
        <v>309712.27</v>
      </c>
      <c r="D5072" s="89" t="s">
        <v>664</v>
      </c>
    </row>
    <row r="5073" spans="1:4" x14ac:dyDescent="0.25">
      <c r="A5073" s="89" t="s">
        <v>22</v>
      </c>
      <c r="B5073" s="89" t="s">
        <v>616</v>
      </c>
      <c r="C5073" s="89">
        <v>173344.57</v>
      </c>
      <c r="D5073" s="89" t="s">
        <v>664</v>
      </c>
    </row>
    <row r="5074" spans="1:4" x14ac:dyDescent="0.25">
      <c r="A5074" s="89" t="s">
        <v>22</v>
      </c>
      <c r="B5074" s="89" t="s">
        <v>616</v>
      </c>
      <c r="C5074" s="89">
        <v>634900</v>
      </c>
      <c r="D5074" s="89" t="s">
        <v>666</v>
      </c>
    </row>
    <row r="5075" spans="1:4" x14ac:dyDescent="0.25">
      <c r="A5075" s="89" t="s">
        <v>22</v>
      </c>
      <c r="B5075" s="89" t="s">
        <v>616</v>
      </c>
      <c r="C5075" s="89">
        <v>188874</v>
      </c>
      <c r="D5075" s="89" t="s">
        <v>666</v>
      </c>
    </row>
    <row r="5076" spans="1:4" x14ac:dyDescent="0.25">
      <c r="A5076" s="89" t="s">
        <v>22</v>
      </c>
      <c r="B5076" s="89" t="s">
        <v>616</v>
      </c>
      <c r="C5076" s="89">
        <v>208707</v>
      </c>
      <c r="D5076" s="89" t="s">
        <v>664</v>
      </c>
    </row>
    <row r="5077" spans="1:4" x14ac:dyDescent="0.25">
      <c r="A5077" s="89" t="s">
        <v>22</v>
      </c>
      <c r="B5077" s="89" t="s">
        <v>616</v>
      </c>
      <c r="C5077" s="89">
        <v>123212</v>
      </c>
      <c r="D5077" s="89" t="s">
        <v>664</v>
      </c>
    </row>
    <row r="5078" spans="1:4" x14ac:dyDescent="0.25">
      <c r="A5078" s="89" t="s">
        <v>22</v>
      </c>
      <c r="B5078" s="89" t="s">
        <v>616</v>
      </c>
      <c r="C5078" s="89">
        <v>4668388</v>
      </c>
      <c r="D5078" s="89" t="s">
        <v>664</v>
      </c>
    </row>
    <row r="5079" spans="1:4" x14ac:dyDescent="0.25">
      <c r="A5079" s="89" t="s">
        <v>22</v>
      </c>
      <c r="B5079" s="89" t="s">
        <v>616</v>
      </c>
      <c r="C5079" s="89">
        <v>1922158.36</v>
      </c>
      <c r="D5079" s="89" t="s">
        <v>666</v>
      </c>
    </row>
    <row r="5080" spans="1:4" x14ac:dyDescent="0.25">
      <c r="A5080" s="89" t="s">
        <v>22</v>
      </c>
      <c r="B5080" s="89" t="s">
        <v>616</v>
      </c>
      <c r="C5080" s="89">
        <v>247057.64</v>
      </c>
      <c r="D5080" s="89" t="s">
        <v>666</v>
      </c>
    </row>
    <row r="5081" spans="1:4" x14ac:dyDescent="0.25">
      <c r="A5081" s="89" t="s">
        <v>22</v>
      </c>
      <c r="B5081" s="89" t="s">
        <v>616</v>
      </c>
      <c r="C5081" s="89">
        <v>50000</v>
      </c>
      <c r="D5081" s="89" t="s">
        <v>666</v>
      </c>
    </row>
    <row r="5082" spans="1:4" x14ac:dyDescent="0.25">
      <c r="A5082" s="89" t="s">
        <v>22</v>
      </c>
      <c r="B5082" s="89" t="s">
        <v>616</v>
      </c>
      <c r="C5082" s="89">
        <v>778921</v>
      </c>
      <c r="D5082" s="89" t="s">
        <v>664</v>
      </c>
    </row>
    <row r="5083" spans="1:4" x14ac:dyDescent="0.25">
      <c r="A5083" s="89" t="s">
        <v>22</v>
      </c>
      <c r="B5083" s="89" t="s">
        <v>616</v>
      </c>
      <c r="C5083" s="89">
        <v>50000</v>
      </c>
      <c r="D5083" s="89" t="s">
        <v>666</v>
      </c>
    </row>
    <row r="5084" spans="1:4" x14ac:dyDescent="0.25">
      <c r="A5084" s="89" t="s">
        <v>22</v>
      </c>
      <c r="B5084" s="89" t="s">
        <v>616</v>
      </c>
      <c r="C5084" s="89">
        <v>7673</v>
      </c>
      <c r="D5084" s="89" t="s">
        <v>666</v>
      </c>
    </row>
    <row r="5085" spans="1:4" x14ac:dyDescent="0.25">
      <c r="A5085" s="89" t="s">
        <v>22</v>
      </c>
      <c r="B5085" s="89" t="s">
        <v>616</v>
      </c>
      <c r="C5085" s="89">
        <v>20508</v>
      </c>
      <c r="D5085" s="89" t="s">
        <v>666</v>
      </c>
    </row>
    <row r="5086" spans="1:4" x14ac:dyDescent="0.25">
      <c r="A5086" s="89" t="s">
        <v>22</v>
      </c>
      <c r="B5086" s="89" t="s">
        <v>616</v>
      </c>
      <c r="C5086" s="89">
        <v>430340</v>
      </c>
      <c r="D5086" s="89" t="s">
        <v>666</v>
      </c>
    </row>
    <row r="5087" spans="1:4" x14ac:dyDescent="0.25">
      <c r="A5087" s="89" t="s">
        <v>22</v>
      </c>
      <c r="B5087" s="89" t="s">
        <v>616</v>
      </c>
      <c r="C5087" s="89">
        <v>1621018</v>
      </c>
      <c r="D5087" s="89" t="s">
        <v>664</v>
      </c>
    </row>
    <row r="5088" spans="1:4" x14ac:dyDescent="0.25">
      <c r="A5088" s="89" t="s">
        <v>22</v>
      </c>
      <c r="B5088" s="89" t="s">
        <v>616</v>
      </c>
      <c r="C5088" s="89">
        <v>329224</v>
      </c>
      <c r="D5088" s="89" t="s">
        <v>663</v>
      </c>
    </row>
    <row r="5089" spans="1:4" x14ac:dyDescent="0.25">
      <c r="A5089" s="89" t="s">
        <v>22</v>
      </c>
      <c r="B5089" s="89" t="s">
        <v>616</v>
      </c>
      <c r="C5089" s="89">
        <v>758221</v>
      </c>
      <c r="D5089" s="89" t="s">
        <v>663</v>
      </c>
    </row>
    <row r="5090" spans="1:4" x14ac:dyDescent="0.25">
      <c r="A5090" s="89" t="s">
        <v>21</v>
      </c>
      <c r="B5090" s="89" t="s">
        <v>616</v>
      </c>
      <c r="C5090" s="89">
        <v>3721345</v>
      </c>
      <c r="D5090" s="89" t="s">
        <v>663</v>
      </c>
    </row>
    <row r="5091" spans="1:4" x14ac:dyDescent="0.25">
      <c r="A5091" s="89" t="s">
        <v>21</v>
      </c>
      <c r="B5091" s="89" t="s">
        <v>616</v>
      </c>
      <c r="C5091" s="89">
        <v>3961252</v>
      </c>
      <c r="D5091" s="89" t="s">
        <v>666</v>
      </c>
    </row>
    <row r="5092" spans="1:4" x14ac:dyDescent="0.25">
      <c r="A5092" s="89" t="s">
        <v>21</v>
      </c>
      <c r="B5092" s="89" t="s">
        <v>616</v>
      </c>
      <c r="C5092" s="89">
        <v>1053179</v>
      </c>
      <c r="D5092" s="89" t="s">
        <v>666</v>
      </c>
    </row>
    <row r="5093" spans="1:4" x14ac:dyDescent="0.25">
      <c r="A5093" s="89" t="s">
        <v>21</v>
      </c>
      <c r="B5093" s="89" t="s">
        <v>616</v>
      </c>
      <c r="C5093" s="89">
        <v>2073916</v>
      </c>
      <c r="D5093" s="89" t="s">
        <v>664</v>
      </c>
    </row>
    <row r="5094" spans="1:4" x14ac:dyDescent="0.25">
      <c r="A5094" s="89" t="s">
        <v>21</v>
      </c>
      <c r="B5094" s="89" t="s">
        <v>616</v>
      </c>
      <c r="C5094" s="89">
        <v>8263670.1600000001</v>
      </c>
      <c r="D5094" s="89" t="s">
        <v>664</v>
      </c>
    </row>
    <row r="5095" spans="1:4" x14ac:dyDescent="0.25">
      <c r="A5095" s="89" t="s">
        <v>21</v>
      </c>
      <c r="B5095" s="89" t="s">
        <v>616</v>
      </c>
      <c r="C5095" s="89">
        <v>4709468</v>
      </c>
      <c r="D5095" s="89" t="s">
        <v>664</v>
      </c>
    </row>
    <row r="5096" spans="1:4" x14ac:dyDescent="0.25">
      <c r="A5096" s="89" t="s">
        <v>21</v>
      </c>
      <c r="B5096" s="89" t="s">
        <v>616</v>
      </c>
      <c r="C5096" s="89">
        <v>3572288</v>
      </c>
      <c r="D5096" s="89" t="s">
        <v>663</v>
      </c>
    </row>
    <row r="5097" spans="1:4" x14ac:dyDescent="0.25">
      <c r="A5097" s="89" t="s">
        <v>21</v>
      </c>
      <c r="B5097" s="89" t="s">
        <v>616</v>
      </c>
      <c r="C5097" s="89">
        <v>1093684</v>
      </c>
      <c r="D5097" s="89" t="s">
        <v>664</v>
      </c>
    </row>
    <row r="5098" spans="1:4" x14ac:dyDescent="0.25">
      <c r="A5098" s="89" t="s">
        <v>21</v>
      </c>
      <c r="B5098" s="89" t="s">
        <v>616</v>
      </c>
      <c r="C5098" s="89">
        <v>2673582</v>
      </c>
      <c r="D5098" s="89" t="s">
        <v>666</v>
      </c>
    </row>
    <row r="5099" spans="1:4" x14ac:dyDescent="0.25">
      <c r="A5099" s="89" t="s">
        <v>21</v>
      </c>
      <c r="B5099" s="89" t="s">
        <v>616</v>
      </c>
      <c r="C5099" s="89">
        <v>3777011</v>
      </c>
      <c r="D5099" s="89" t="s">
        <v>666</v>
      </c>
    </row>
    <row r="5100" spans="1:4" x14ac:dyDescent="0.25">
      <c r="A5100" s="89" t="s">
        <v>21</v>
      </c>
      <c r="B5100" s="89" t="s">
        <v>616</v>
      </c>
      <c r="C5100" s="89">
        <v>261575</v>
      </c>
      <c r="D5100" s="89" t="s">
        <v>666</v>
      </c>
    </row>
    <row r="5101" spans="1:4" x14ac:dyDescent="0.25">
      <c r="A5101" s="89" t="s">
        <v>21</v>
      </c>
      <c r="B5101" s="89" t="s">
        <v>616</v>
      </c>
      <c r="C5101" s="89">
        <v>19591964</v>
      </c>
      <c r="D5101" s="89" t="s">
        <v>664</v>
      </c>
    </row>
    <row r="5102" spans="1:4" x14ac:dyDescent="0.25">
      <c r="A5102" s="89" t="s">
        <v>21</v>
      </c>
      <c r="B5102" s="89" t="s">
        <v>616</v>
      </c>
      <c r="C5102" s="89">
        <v>307466</v>
      </c>
      <c r="D5102" s="89" t="s">
        <v>664</v>
      </c>
    </row>
    <row r="5103" spans="1:4" x14ac:dyDescent="0.25">
      <c r="A5103" s="89" t="s">
        <v>21</v>
      </c>
      <c r="B5103" s="89" t="s">
        <v>616</v>
      </c>
      <c r="C5103" s="89">
        <v>163877</v>
      </c>
      <c r="D5103" s="89" t="s">
        <v>666</v>
      </c>
    </row>
    <row r="5104" spans="1:4" x14ac:dyDescent="0.25">
      <c r="A5104" s="89" t="s">
        <v>21</v>
      </c>
      <c r="B5104" s="89" t="s">
        <v>616</v>
      </c>
      <c r="C5104" s="89">
        <v>2461028</v>
      </c>
      <c r="D5104" s="89" t="s">
        <v>666</v>
      </c>
    </row>
    <row r="5105" spans="1:4" x14ac:dyDescent="0.25">
      <c r="A5105" s="89" t="s">
        <v>21</v>
      </c>
      <c r="B5105" s="89" t="s">
        <v>616</v>
      </c>
      <c r="C5105" s="89">
        <v>7807651</v>
      </c>
      <c r="D5105" s="89" t="s">
        <v>663</v>
      </c>
    </row>
    <row r="5106" spans="1:4" x14ac:dyDescent="0.25">
      <c r="A5106" s="89" t="s">
        <v>21</v>
      </c>
      <c r="B5106" s="89" t="s">
        <v>616</v>
      </c>
      <c r="C5106" s="89">
        <v>6523430.6799999997</v>
      </c>
      <c r="D5106" s="89" t="s">
        <v>664</v>
      </c>
    </row>
    <row r="5107" spans="1:4" x14ac:dyDescent="0.25">
      <c r="A5107" s="89" t="s">
        <v>21</v>
      </c>
      <c r="B5107" s="89" t="s">
        <v>616</v>
      </c>
      <c r="C5107" s="89">
        <v>3220742</v>
      </c>
      <c r="D5107" s="89" t="s">
        <v>663</v>
      </c>
    </row>
    <row r="5108" spans="1:4" x14ac:dyDescent="0.25">
      <c r="A5108" s="89" t="s">
        <v>21</v>
      </c>
      <c r="B5108" s="89" t="s">
        <v>616</v>
      </c>
      <c r="C5108" s="89">
        <v>1869287</v>
      </c>
      <c r="D5108" s="89" t="s">
        <v>666</v>
      </c>
    </row>
    <row r="5109" spans="1:4" x14ac:dyDescent="0.25">
      <c r="A5109" s="89" t="s">
        <v>21</v>
      </c>
      <c r="B5109" s="89" t="s">
        <v>616</v>
      </c>
      <c r="C5109" s="89">
        <v>18860317</v>
      </c>
      <c r="D5109" s="89" t="s">
        <v>664</v>
      </c>
    </row>
    <row r="5110" spans="1:4" x14ac:dyDescent="0.25">
      <c r="A5110" s="89" t="s">
        <v>21</v>
      </c>
      <c r="B5110" s="89" t="s">
        <v>616</v>
      </c>
      <c r="C5110" s="89">
        <v>3886314</v>
      </c>
      <c r="D5110" s="89" t="s">
        <v>666</v>
      </c>
    </row>
    <row r="5111" spans="1:4" x14ac:dyDescent="0.25">
      <c r="A5111" s="89" t="s">
        <v>21</v>
      </c>
      <c r="B5111" s="89" t="s">
        <v>616</v>
      </c>
      <c r="C5111" s="89">
        <v>12133154</v>
      </c>
      <c r="D5111" s="89" t="s">
        <v>664</v>
      </c>
    </row>
    <row r="5112" spans="1:4" x14ac:dyDescent="0.25">
      <c r="A5112" s="89" t="s">
        <v>21</v>
      </c>
      <c r="B5112" s="89" t="s">
        <v>616</v>
      </c>
      <c r="C5112" s="89">
        <v>4672871</v>
      </c>
      <c r="D5112" s="89" t="s">
        <v>663</v>
      </c>
    </row>
    <row r="5113" spans="1:4" x14ac:dyDescent="0.25">
      <c r="A5113" s="89" t="s">
        <v>21</v>
      </c>
      <c r="B5113" s="89" t="s">
        <v>616</v>
      </c>
      <c r="C5113" s="89">
        <v>183330</v>
      </c>
      <c r="D5113" s="89" t="s">
        <v>664</v>
      </c>
    </row>
    <row r="5114" spans="1:4" x14ac:dyDescent="0.25">
      <c r="A5114" s="89" t="s">
        <v>21</v>
      </c>
      <c r="B5114" s="89" t="s">
        <v>616</v>
      </c>
      <c r="C5114" s="89">
        <v>243931</v>
      </c>
      <c r="D5114" s="89" t="s">
        <v>666</v>
      </c>
    </row>
    <row r="5115" spans="1:4" x14ac:dyDescent="0.25">
      <c r="A5115" s="89" t="s">
        <v>21</v>
      </c>
      <c r="B5115" s="89" t="s">
        <v>616</v>
      </c>
      <c r="C5115" s="89">
        <v>8557995</v>
      </c>
      <c r="D5115" s="89" t="s">
        <v>663</v>
      </c>
    </row>
    <row r="5116" spans="1:4" x14ac:dyDescent="0.25">
      <c r="A5116" s="89" t="s">
        <v>21</v>
      </c>
      <c r="B5116" s="89" t="s">
        <v>616</v>
      </c>
      <c r="C5116" s="89">
        <v>16482852</v>
      </c>
      <c r="D5116" s="89" t="s">
        <v>664</v>
      </c>
    </row>
    <row r="5117" spans="1:4" x14ac:dyDescent="0.25">
      <c r="A5117" s="89" t="s">
        <v>21</v>
      </c>
      <c r="B5117" s="89" t="s">
        <v>616</v>
      </c>
      <c r="C5117" s="89">
        <v>984893</v>
      </c>
      <c r="D5117" s="89" t="s">
        <v>663</v>
      </c>
    </row>
    <row r="5118" spans="1:4" x14ac:dyDescent="0.25">
      <c r="A5118" s="89" t="s">
        <v>21</v>
      </c>
      <c r="B5118" s="89" t="s">
        <v>616</v>
      </c>
      <c r="C5118" s="89">
        <v>2227541</v>
      </c>
      <c r="D5118" s="89" t="s">
        <v>664</v>
      </c>
    </row>
    <row r="5119" spans="1:4" x14ac:dyDescent="0.25">
      <c r="A5119" s="89" t="s">
        <v>21</v>
      </c>
      <c r="B5119" s="89" t="s">
        <v>616</v>
      </c>
      <c r="C5119" s="89">
        <v>663618.16</v>
      </c>
      <c r="D5119" s="89" t="s">
        <v>664</v>
      </c>
    </row>
    <row r="5120" spans="1:4" x14ac:dyDescent="0.25">
      <c r="A5120" s="89" t="s">
        <v>21</v>
      </c>
      <c r="B5120" s="89" t="s">
        <v>616</v>
      </c>
      <c r="C5120" s="89">
        <v>2517655</v>
      </c>
      <c r="D5120" s="89" t="s">
        <v>666</v>
      </c>
    </row>
    <row r="5121" spans="1:4" x14ac:dyDescent="0.25">
      <c r="A5121" s="89" t="s">
        <v>21</v>
      </c>
      <c r="B5121" s="89" t="s">
        <v>616</v>
      </c>
      <c r="C5121" s="89">
        <v>2027776</v>
      </c>
      <c r="D5121" s="89" t="s">
        <v>664</v>
      </c>
    </row>
    <row r="5122" spans="1:4" x14ac:dyDescent="0.25">
      <c r="A5122" s="89" t="s">
        <v>21</v>
      </c>
      <c r="B5122" s="89" t="s">
        <v>616</v>
      </c>
      <c r="C5122" s="89">
        <v>3118775</v>
      </c>
      <c r="D5122" s="89" t="s">
        <v>664</v>
      </c>
    </row>
    <row r="5123" spans="1:4" x14ac:dyDescent="0.25">
      <c r="A5123" s="89" t="s">
        <v>21</v>
      </c>
      <c r="B5123" s="89" t="s">
        <v>616</v>
      </c>
      <c r="C5123" s="89">
        <v>1969740</v>
      </c>
      <c r="D5123" s="89" t="s">
        <v>666</v>
      </c>
    </row>
    <row r="5124" spans="1:4" x14ac:dyDescent="0.25">
      <c r="A5124" s="89" t="s">
        <v>21</v>
      </c>
      <c r="B5124" s="89" t="s">
        <v>616</v>
      </c>
      <c r="C5124" s="89">
        <v>2620240</v>
      </c>
      <c r="D5124" s="89" t="s">
        <v>666</v>
      </c>
    </row>
    <row r="5125" spans="1:4" x14ac:dyDescent="0.25">
      <c r="A5125" s="89" t="s">
        <v>21</v>
      </c>
      <c r="B5125" s="89" t="s">
        <v>616</v>
      </c>
      <c r="C5125" s="89">
        <v>720264</v>
      </c>
      <c r="D5125" s="89" t="s">
        <v>663</v>
      </c>
    </row>
    <row r="5126" spans="1:4" x14ac:dyDescent="0.25">
      <c r="A5126" s="89" t="s">
        <v>21</v>
      </c>
      <c r="B5126" s="89" t="s">
        <v>616</v>
      </c>
      <c r="C5126" s="89">
        <v>14020074</v>
      </c>
      <c r="D5126" s="89" t="s">
        <v>663</v>
      </c>
    </row>
    <row r="5127" spans="1:4" x14ac:dyDescent="0.25">
      <c r="A5127" s="89" t="s">
        <v>21</v>
      </c>
      <c r="B5127" s="89" t="s">
        <v>616</v>
      </c>
      <c r="C5127" s="89">
        <v>3228819</v>
      </c>
      <c r="D5127" s="89" t="s">
        <v>663</v>
      </c>
    </row>
    <row r="5128" spans="1:4" x14ac:dyDescent="0.25">
      <c r="A5128" s="89" t="s">
        <v>21</v>
      </c>
      <c r="B5128" s="89" t="s">
        <v>616</v>
      </c>
      <c r="C5128" s="89">
        <v>2065864</v>
      </c>
      <c r="D5128" s="89" t="s">
        <v>666</v>
      </c>
    </row>
    <row r="5129" spans="1:4" x14ac:dyDescent="0.25">
      <c r="A5129" s="89" t="s">
        <v>21</v>
      </c>
      <c r="B5129" s="89" t="s">
        <v>616</v>
      </c>
      <c r="C5129" s="89">
        <v>4903414</v>
      </c>
      <c r="D5129" s="89" t="s">
        <v>664</v>
      </c>
    </row>
    <row r="5130" spans="1:4" x14ac:dyDescent="0.25">
      <c r="A5130" s="89" t="s">
        <v>21</v>
      </c>
      <c r="B5130" s="89" t="s">
        <v>616</v>
      </c>
      <c r="C5130" s="89">
        <v>723889</v>
      </c>
      <c r="D5130" s="89" t="s">
        <v>663</v>
      </c>
    </row>
    <row r="5131" spans="1:4" x14ac:dyDescent="0.25">
      <c r="A5131" s="89" t="s">
        <v>21</v>
      </c>
      <c r="B5131" s="89" t="s">
        <v>616</v>
      </c>
      <c r="C5131" s="89">
        <v>1087312</v>
      </c>
      <c r="D5131" s="89" t="s">
        <v>666</v>
      </c>
    </row>
    <row r="5132" spans="1:4" x14ac:dyDescent="0.25">
      <c r="A5132" s="89" t="s">
        <v>21</v>
      </c>
      <c r="B5132" s="89" t="s">
        <v>616</v>
      </c>
      <c r="C5132" s="89">
        <v>5216869</v>
      </c>
      <c r="D5132" s="89" t="s">
        <v>666</v>
      </c>
    </row>
    <row r="5133" spans="1:4" x14ac:dyDescent="0.25">
      <c r="A5133" s="89" t="s">
        <v>21</v>
      </c>
      <c r="B5133" s="89" t="s">
        <v>616</v>
      </c>
      <c r="C5133" s="89">
        <v>3382193</v>
      </c>
      <c r="D5133" s="89" t="s">
        <v>663</v>
      </c>
    </row>
    <row r="5134" spans="1:4" x14ac:dyDescent="0.25">
      <c r="A5134" s="89" t="s">
        <v>21</v>
      </c>
      <c r="B5134" s="89" t="s">
        <v>616</v>
      </c>
      <c r="C5134" s="89">
        <v>2601895</v>
      </c>
      <c r="D5134" s="89" t="s">
        <v>664</v>
      </c>
    </row>
    <row r="5135" spans="1:4" x14ac:dyDescent="0.25">
      <c r="A5135" s="89" t="s">
        <v>21</v>
      </c>
      <c r="B5135" s="89" t="s">
        <v>616</v>
      </c>
      <c r="C5135" s="89">
        <v>3542317</v>
      </c>
      <c r="D5135" s="89" t="s">
        <v>666</v>
      </c>
    </row>
    <row r="5136" spans="1:4" x14ac:dyDescent="0.25">
      <c r="A5136" s="89" t="s">
        <v>21</v>
      </c>
      <c r="B5136" s="89" t="s">
        <v>616</v>
      </c>
      <c r="C5136" s="89">
        <v>2296696</v>
      </c>
      <c r="D5136" s="89" t="s">
        <v>666</v>
      </c>
    </row>
    <row r="5137" spans="1:4" x14ac:dyDescent="0.25">
      <c r="A5137" s="89" t="s">
        <v>21</v>
      </c>
      <c r="B5137" s="89" t="s">
        <v>616</v>
      </c>
      <c r="C5137" s="89">
        <v>1043295</v>
      </c>
      <c r="D5137" s="89" t="s">
        <v>663</v>
      </c>
    </row>
    <row r="5138" spans="1:4" x14ac:dyDescent="0.25">
      <c r="A5138" s="89" t="s">
        <v>21</v>
      </c>
      <c r="B5138" s="89" t="s">
        <v>616</v>
      </c>
      <c r="C5138" s="89">
        <v>1014303</v>
      </c>
      <c r="D5138" s="89" t="s">
        <v>666</v>
      </c>
    </row>
    <row r="5139" spans="1:4" x14ac:dyDescent="0.25">
      <c r="A5139" s="89" t="s">
        <v>21</v>
      </c>
      <c r="B5139" s="89" t="s">
        <v>616</v>
      </c>
      <c r="C5139" s="89">
        <v>-1014303</v>
      </c>
      <c r="D5139" s="89" t="s">
        <v>666</v>
      </c>
    </row>
    <row r="5140" spans="1:4" x14ac:dyDescent="0.25">
      <c r="A5140" s="89" t="s">
        <v>21</v>
      </c>
      <c r="B5140" s="89" t="s">
        <v>616</v>
      </c>
      <c r="C5140" s="89">
        <v>610756</v>
      </c>
      <c r="D5140" s="89" t="s">
        <v>666</v>
      </c>
    </row>
    <row r="5141" spans="1:4" x14ac:dyDescent="0.25">
      <c r="A5141" s="89" t="s">
        <v>21</v>
      </c>
      <c r="B5141" s="89" t="s">
        <v>616</v>
      </c>
      <c r="C5141" s="89">
        <v>3854008</v>
      </c>
      <c r="D5141" s="89" t="s">
        <v>663</v>
      </c>
    </row>
    <row r="5142" spans="1:4" x14ac:dyDescent="0.25">
      <c r="A5142" s="89" t="s">
        <v>21</v>
      </c>
      <c r="B5142" s="89" t="s">
        <v>616</v>
      </c>
      <c r="C5142" s="89">
        <v>219992</v>
      </c>
      <c r="D5142" s="89" t="s">
        <v>665</v>
      </c>
    </row>
    <row r="5143" spans="1:4" x14ac:dyDescent="0.25">
      <c r="A5143" s="89" t="s">
        <v>21</v>
      </c>
      <c r="B5143" s="89" t="s">
        <v>616</v>
      </c>
      <c r="C5143" s="89">
        <v>1937391</v>
      </c>
      <c r="D5143" s="89" t="s">
        <v>666</v>
      </c>
    </row>
    <row r="5144" spans="1:4" x14ac:dyDescent="0.25">
      <c r="A5144" s="89" t="s">
        <v>21</v>
      </c>
      <c r="B5144" s="89" t="s">
        <v>616</v>
      </c>
      <c r="C5144" s="89">
        <v>19592053</v>
      </c>
      <c r="D5144" s="89" t="s">
        <v>663</v>
      </c>
    </row>
    <row r="5145" spans="1:4" x14ac:dyDescent="0.25">
      <c r="A5145" s="89" t="s">
        <v>21</v>
      </c>
      <c r="B5145" s="89" t="s">
        <v>616</v>
      </c>
      <c r="C5145" s="89">
        <v>405342</v>
      </c>
      <c r="D5145" s="89" t="s">
        <v>664</v>
      </c>
    </row>
    <row r="5146" spans="1:4" x14ac:dyDescent="0.25">
      <c r="A5146" s="89" t="s">
        <v>21</v>
      </c>
      <c r="B5146" s="89" t="s">
        <v>616</v>
      </c>
      <c r="C5146" s="89">
        <v>5723652</v>
      </c>
      <c r="D5146" s="89" t="s">
        <v>664</v>
      </c>
    </row>
    <row r="5147" spans="1:4" x14ac:dyDescent="0.25">
      <c r="A5147" s="89" t="s">
        <v>21</v>
      </c>
      <c r="B5147" s="89" t="s">
        <v>616</v>
      </c>
      <c r="C5147" s="89">
        <v>3530048</v>
      </c>
      <c r="D5147" s="89" t="s">
        <v>663</v>
      </c>
    </row>
    <row r="5148" spans="1:4" x14ac:dyDescent="0.25">
      <c r="A5148" s="89" t="s">
        <v>21</v>
      </c>
      <c r="B5148" s="89" t="s">
        <v>616</v>
      </c>
      <c r="C5148" s="89">
        <v>2484931</v>
      </c>
      <c r="D5148" s="89" t="s">
        <v>664</v>
      </c>
    </row>
    <row r="5149" spans="1:4" x14ac:dyDescent="0.25">
      <c r="A5149" s="89" t="s">
        <v>21</v>
      </c>
      <c r="B5149" s="89" t="s">
        <v>616</v>
      </c>
      <c r="C5149" s="89">
        <v>836995</v>
      </c>
      <c r="D5149" s="89" t="s">
        <v>666</v>
      </c>
    </row>
    <row r="5150" spans="1:4" x14ac:dyDescent="0.25">
      <c r="A5150" s="89" t="s">
        <v>21</v>
      </c>
      <c r="B5150" s="89" t="s">
        <v>616</v>
      </c>
      <c r="C5150" s="89">
        <v>6073994</v>
      </c>
      <c r="D5150" s="89" t="s">
        <v>663</v>
      </c>
    </row>
    <row r="5151" spans="1:4" x14ac:dyDescent="0.25">
      <c r="A5151" s="89" t="s">
        <v>21</v>
      </c>
      <c r="B5151" s="89" t="s">
        <v>616</v>
      </c>
      <c r="C5151" s="89">
        <v>519002</v>
      </c>
      <c r="D5151" s="89" t="s">
        <v>666</v>
      </c>
    </row>
    <row r="5152" spans="1:4" x14ac:dyDescent="0.25">
      <c r="A5152" s="89" t="s">
        <v>21</v>
      </c>
      <c r="B5152" s="89" t="s">
        <v>616</v>
      </c>
      <c r="C5152" s="89">
        <v>1791602</v>
      </c>
      <c r="D5152" s="89" t="s">
        <v>663</v>
      </c>
    </row>
    <row r="5153" spans="1:4" x14ac:dyDescent="0.25">
      <c r="A5153" s="89" t="s">
        <v>21</v>
      </c>
      <c r="B5153" s="89" t="s">
        <v>616</v>
      </c>
      <c r="C5153" s="89">
        <v>1701004</v>
      </c>
      <c r="D5153" s="89" t="s">
        <v>666</v>
      </c>
    </row>
    <row r="5154" spans="1:4" x14ac:dyDescent="0.25">
      <c r="A5154" s="89" t="s">
        <v>21</v>
      </c>
      <c r="B5154" s="89" t="s">
        <v>616</v>
      </c>
      <c r="C5154" s="89">
        <v>5224070</v>
      </c>
      <c r="D5154" s="89" t="s">
        <v>664</v>
      </c>
    </row>
    <row r="5155" spans="1:4" x14ac:dyDescent="0.25">
      <c r="A5155" s="89" t="s">
        <v>21</v>
      </c>
      <c r="B5155" s="89" t="s">
        <v>616</v>
      </c>
      <c r="C5155" s="89">
        <v>6303742.9299999997</v>
      </c>
      <c r="D5155" s="89" t="s">
        <v>665</v>
      </c>
    </row>
    <row r="5156" spans="1:4" x14ac:dyDescent="0.25">
      <c r="A5156" s="89" t="s">
        <v>21</v>
      </c>
      <c r="B5156" s="89" t="s">
        <v>616</v>
      </c>
      <c r="C5156" s="89">
        <v>5248702</v>
      </c>
      <c r="D5156" s="89" t="s">
        <v>666</v>
      </c>
    </row>
    <row r="5157" spans="1:4" x14ac:dyDescent="0.25">
      <c r="A5157" s="89" t="s">
        <v>21</v>
      </c>
      <c r="B5157" s="89" t="s">
        <v>616</v>
      </c>
      <c r="C5157" s="89">
        <v>-50000</v>
      </c>
      <c r="D5157" s="89" t="s">
        <v>666</v>
      </c>
    </row>
    <row r="5158" spans="1:4" x14ac:dyDescent="0.25">
      <c r="A5158" s="89" t="s">
        <v>21</v>
      </c>
      <c r="B5158" s="89" t="s">
        <v>616</v>
      </c>
      <c r="C5158" s="89">
        <v>50000</v>
      </c>
      <c r="D5158" s="89" t="s">
        <v>666</v>
      </c>
    </row>
    <row r="5159" spans="1:4" x14ac:dyDescent="0.25">
      <c r="A5159" s="89" t="s">
        <v>21</v>
      </c>
      <c r="B5159" s="89" t="s">
        <v>616</v>
      </c>
      <c r="C5159" s="89">
        <v>208934</v>
      </c>
      <c r="D5159" s="89" t="s">
        <v>666</v>
      </c>
    </row>
    <row r="5160" spans="1:4" x14ac:dyDescent="0.25">
      <c r="A5160" s="89" t="s">
        <v>21</v>
      </c>
      <c r="B5160" s="89" t="s">
        <v>616</v>
      </c>
      <c r="C5160" s="89">
        <v>1014303</v>
      </c>
      <c r="D5160" s="89" t="s">
        <v>666</v>
      </c>
    </row>
    <row r="5161" spans="1:4" x14ac:dyDescent="0.25">
      <c r="A5161" s="89" t="s">
        <v>21</v>
      </c>
      <c r="B5161" s="89" t="s">
        <v>616</v>
      </c>
      <c r="C5161" s="89">
        <v>2969059.2</v>
      </c>
      <c r="D5161" s="89" t="s">
        <v>665</v>
      </c>
    </row>
    <row r="5162" spans="1:4" x14ac:dyDescent="0.25">
      <c r="A5162" s="89" t="s">
        <v>21</v>
      </c>
      <c r="B5162" s="89" t="s">
        <v>616</v>
      </c>
      <c r="C5162" s="89">
        <v>7384674.8200000003</v>
      </c>
      <c r="D5162" s="89" t="s">
        <v>664</v>
      </c>
    </row>
    <row r="5163" spans="1:4" x14ac:dyDescent="0.25">
      <c r="A5163" s="89" t="s">
        <v>21</v>
      </c>
      <c r="B5163" s="89" t="s">
        <v>616</v>
      </c>
      <c r="C5163" s="89">
        <v>3669427.56</v>
      </c>
      <c r="D5163" s="89" t="s">
        <v>666</v>
      </c>
    </row>
    <row r="5164" spans="1:4" x14ac:dyDescent="0.25">
      <c r="A5164" s="89" t="s">
        <v>21</v>
      </c>
      <c r="B5164" s="89" t="s">
        <v>616</v>
      </c>
      <c r="C5164" s="89">
        <v>50000</v>
      </c>
      <c r="D5164" s="89" t="s">
        <v>666</v>
      </c>
    </row>
    <row r="5165" spans="1:4" x14ac:dyDescent="0.25">
      <c r="A5165" s="89" t="s">
        <v>21</v>
      </c>
      <c r="B5165" s="89" t="s">
        <v>616</v>
      </c>
      <c r="C5165" s="89">
        <v>19875794</v>
      </c>
      <c r="D5165" s="89" t="s">
        <v>663</v>
      </c>
    </row>
    <row r="5166" spans="1:4" x14ac:dyDescent="0.25">
      <c r="A5166" s="89" t="s">
        <v>21</v>
      </c>
      <c r="B5166" s="89" t="s">
        <v>616</v>
      </c>
      <c r="C5166" s="89">
        <v>1097247</v>
      </c>
      <c r="D5166" s="89" t="s">
        <v>666</v>
      </c>
    </row>
    <row r="5167" spans="1:4" x14ac:dyDescent="0.25">
      <c r="A5167" s="89" t="s">
        <v>21</v>
      </c>
      <c r="B5167" s="89" t="s">
        <v>616</v>
      </c>
      <c r="C5167" s="89">
        <v>1628375.43</v>
      </c>
      <c r="D5167" s="89" t="s">
        <v>666</v>
      </c>
    </row>
    <row r="5168" spans="1:4" x14ac:dyDescent="0.25">
      <c r="A5168" s="89" t="s">
        <v>21</v>
      </c>
      <c r="B5168" s="89" t="s">
        <v>616</v>
      </c>
      <c r="C5168" s="89">
        <v>4926219</v>
      </c>
      <c r="D5168" s="89" t="s">
        <v>666</v>
      </c>
    </row>
    <row r="5169" spans="1:4" x14ac:dyDescent="0.25">
      <c r="A5169" s="89" t="s">
        <v>21</v>
      </c>
      <c r="B5169" s="89" t="s">
        <v>616</v>
      </c>
      <c r="C5169" s="89">
        <v>12729219</v>
      </c>
      <c r="D5169" s="89" t="s">
        <v>664</v>
      </c>
    </row>
    <row r="5170" spans="1:4" x14ac:dyDescent="0.25">
      <c r="A5170" s="89" t="s">
        <v>21</v>
      </c>
      <c r="B5170" s="89" t="s">
        <v>616</v>
      </c>
      <c r="C5170" s="89">
        <v>3341545.86</v>
      </c>
      <c r="D5170" s="89" t="s">
        <v>663</v>
      </c>
    </row>
    <row r="5171" spans="1:4" x14ac:dyDescent="0.25">
      <c r="A5171" s="89" t="s">
        <v>21</v>
      </c>
      <c r="B5171" s="89" t="s">
        <v>616</v>
      </c>
      <c r="C5171" s="89">
        <v>50000</v>
      </c>
      <c r="D5171" s="89" t="s">
        <v>666</v>
      </c>
    </row>
    <row r="5172" spans="1:4" x14ac:dyDescent="0.25">
      <c r="A5172" s="89" t="s">
        <v>21</v>
      </c>
      <c r="B5172" s="89" t="s">
        <v>616</v>
      </c>
      <c r="C5172" s="89">
        <v>1212209.7</v>
      </c>
      <c r="D5172" s="89" t="s">
        <v>663</v>
      </c>
    </row>
    <row r="5173" spans="1:4" x14ac:dyDescent="0.25">
      <c r="A5173" s="89" t="s">
        <v>127</v>
      </c>
      <c r="B5173" s="89" t="s">
        <v>615</v>
      </c>
      <c r="C5173" s="89">
        <v>848802</v>
      </c>
      <c r="D5173" s="89" t="s">
        <v>664</v>
      </c>
    </row>
    <row r="5174" spans="1:4" x14ac:dyDescent="0.25">
      <c r="A5174" s="89" t="s">
        <v>127</v>
      </c>
      <c r="B5174" s="89" t="s">
        <v>615</v>
      </c>
      <c r="C5174" s="89">
        <v>281460</v>
      </c>
      <c r="D5174" s="89" t="s">
        <v>663</v>
      </c>
    </row>
    <row r="5175" spans="1:4" x14ac:dyDescent="0.25">
      <c r="A5175" s="89" t="s">
        <v>127</v>
      </c>
      <c r="B5175" s="89" t="s">
        <v>615</v>
      </c>
      <c r="C5175" s="89">
        <v>358508</v>
      </c>
      <c r="D5175" s="89" t="s">
        <v>663</v>
      </c>
    </row>
    <row r="5176" spans="1:4" x14ac:dyDescent="0.25">
      <c r="A5176" s="89" t="s">
        <v>127</v>
      </c>
      <c r="B5176" s="89" t="s">
        <v>615</v>
      </c>
      <c r="C5176" s="89">
        <v>650106</v>
      </c>
      <c r="D5176" s="89" t="s">
        <v>663</v>
      </c>
    </row>
    <row r="5177" spans="1:4" x14ac:dyDescent="0.25">
      <c r="A5177" s="89" t="s">
        <v>127</v>
      </c>
      <c r="B5177" s="89" t="s">
        <v>615</v>
      </c>
      <c r="C5177" s="89">
        <v>350655.15</v>
      </c>
      <c r="D5177" s="89" t="s">
        <v>663</v>
      </c>
    </row>
    <row r="5178" spans="1:4" x14ac:dyDescent="0.25">
      <c r="A5178" s="89" t="s">
        <v>127</v>
      </c>
      <c r="B5178" s="89" t="s">
        <v>615</v>
      </c>
      <c r="C5178" s="89">
        <v>532901.54</v>
      </c>
      <c r="D5178" s="89" t="s">
        <v>664</v>
      </c>
    </row>
    <row r="5179" spans="1:4" x14ac:dyDescent="0.25">
      <c r="A5179" s="89" t="s">
        <v>127</v>
      </c>
      <c r="B5179" s="89" t="s">
        <v>615</v>
      </c>
      <c r="C5179" s="89">
        <v>294816</v>
      </c>
      <c r="D5179" s="89" t="s">
        <v>663</v>
      </c>
    </row>
    <row r="5180" spans="1:4" x14ac:dyDescent="0.25">
      <c r="A5180" s="89" t="s">
        <v>127</v>
      </c>
      <c r="B5180" s="89" t="s">
        <v>615</v>
      </c>
      <c r="C5180" s="89">
        <v>308087</v>
      </c>
      <c r="D5180" s="89" t="s">
        <v>663</v>
      </c>
    </row>
    <row r="5181" spans="1:4" x14ac:dyDescent="0.25">
      <c r="A5181" s="89" t="s">
        <v>127</v>
      </c>
      <c r="B5181" s="89" t="s">
        <v>615</v>
      </c>
      <c r="C5181" s="89">
        <v>288162</v>
      </c>
      <c r="D5181" s="89" t="s">
        <v>664</v>
      </c>
    </row>
    <row r="5182" spans="1:4" x14ac:dyDescent="0.25">
      <c r="A5182" s="89" t="s">
        <v>127</v>
      </c>
      <c r="B5182" s="89" t="s">
        <v>615</v>
      </c>
      <c r="C5182" s="89">
        <v>236761</v>
      </c>
      <c r="D5182" s="89" t="s">
        <v>663</v>
      </c>
    </row>
    <row r="5183" spans="1:4" x14ac:dyDescent="0.25">
      <c r="A5183" s="89" t="s">
        <v>127</v>
      </c>
      <c r="B5183" s="89" t="s">
        <v>615</v>
      </c>
      <c r="C5183" s="89">
        <v>190000</v>
      </c>
      <c r="D5183" s="89" t="s">
        <v>663</v>
      </c>
    </row>
    <row r="5184" spans="1:4" x14ac:dyDescent="0.25">
      <c r="A5184" s="89" t="s">
        <v>127</v>
      </c>
      <c r="B5184" s="89" t="s">
        <v>615</v>
      </c>
      <c r="C5184" s="89">
        <v>541839</v>
      </c>
      <c r="D5184" s="89" t="s">
        <v>663</v>
      </c>
    </row>
    <row r="5185" spans="1:4" x14ac:dyDescent="0.25">
      <c r="A5185" s="89" t="s">
        <v>127</v>
      </c>
      <c r="B5185" s="89" t="s">
        <v>615</v>
      </c>
      <c r="C5185" s="89">
        <v>405614</v>
      </c>
      <c r="D5185" s="89" t="s">
        <v>663</v>
      </c>
    </row>
    <row r="5186" spans="1:4" x14ac:dyDescent="0.25">
      <c r="A5186" s="89" t="s">
        <v>127</v>
      </c>
      <c r="B5186" s="89" t="s">
        <v>615</v>
      </c>
      <c r="C5186" s="89">
        <v>545703</v>
      </c>
      <c r="D5186" s="89" t="s">
        <v>664</v>
      </c>
    </row>
    <row r="5187" spans="1:4" x14ac:dyDescent="0.25">
      <c r="A5187" s="89" t="s">
        <v>127</v>
      </c>
      <c r="B5187" s="89" t="s">
        <v>615</v>
      </c>
      <c r="C5187" s="89">
        <v>416882</v>
      </c>
      <c r="D5187" s="89" t="s">
        <v>663</v>
      </c>
    </row>
    <row r="5188" spans="1:4" x14ac:dyDescent="0.25">
      <c r="A5188" s="89" t="s">
        <v>127</v>
      </c>
      <c r="B5188" s="89" t="s">
        <v>615</v>
      </c>
      <c r="C5188" s="89">
        <v>222450.81</v>
      </c>
      <c r="D5188" s="89" t="s">
        <v>664</v>
      </c>
    </row>
    <row r="5189" spans="1:4" x14ac:dyDescent="0.25">
      <c r="A5189" s="89" t="s">
        <v>127</v>
      </c>
      <c r="B5189" s="89" t="s">
        <v>615</v>
      </c>
      <c r="C5189" s="89">
        <v>210461</v>
      </c>
      <c r="D5189" s="89" t="s">
        <v>663</v>
      </c>
    </row>
    <row r="5190" spans="1:4" x14ac:dyDescent="0.25">
      <c r="A5190" s="89" t="s">
        <v>127</v>
      </c>
      <c r="B5190" s="89" t="s">
        <v>615</v>
      </c>
      <c r="C5190" s="89">
        <v>1168000</v>
      </c>
      <c r="D5190" s="89" t="s">
        <v>664</v>
      </c>
    </row>
    <row r="5191" spans="1:4" x14ac:dyDescent="0.25">
      <c r="A5191" s="89" t="s">
        <v>127</v>
      </c>
      <c r="B5191" s="89" t="s">
        <v>615</v>
      </c>
      <c r="C5191" s="89">
        <v>295685</v>
      </c>
      <c r="D5191" s="89" t="s">
        <v>664</v>
      </c>
    </row>
    <row r="5192" spans="1:4" x14ac:dyDescent="0.25">
      <c r="A5192" s="89" t="s">
        <v>127</v>
      </c>
      <c r="B5192" s="89" t="s">
        <v>615</v>
      </c>
      <c r="C5192" s="89">
        <v>272500</v>
      </c>
      <c r="D5192" s="89" t="s">
        <v>664</v>
      </c>
    </row>
    <row r="5193" spans="1:4" x14ac:dyDescent="0.25">
      <c r="A5193" s="89" t="s">
        <v>127</v>
      </c>
      <c r="B5193" s="89" t="s">
        <v>615</v>
      </c>
      <c r="C5193" s="89">
        <v>426500</v>
      </c>
      <c r="D5193" s="89" t="s">
        <v>664</v>
      </c>
    </row>
    <row r="5194" spans="1:4" x14ac:dyDescent="0.25">
      <c r="A5194" s="89" t="s">
        <v>127</v>
      </c>
      <c r="B5194" s="89" t="s">
        <v>615</v>
      </c>
      <c r="C5194" s="89">
        <v>288300</v>
      </c>
      <c r="D5194" s="89" t="s">
        <v>663</v>
      </c>
    </row>
    <row r="5195" spans="1:4" x14ac:dyDescent="0.25">
      <c r="A5195" s="89" t="s">
        <v>127</v>
      </c>
      <c r="B5195" s="89" t="s">
        <v>615</v>
      </c>
      <c r="C5195" s="89">
        <v>189500</v>
      </c>
      <c r="D5195" s="89" t="s">
        <v>663</v>
      </c>
    </row>
    <row r="5196" spans="1:4" x14ac:dyDescent="0.25">
      <c r="A5196" s="89" t="s">
        <v>127</v>
      </c>
      <c r="B5196" s="89" t="s">
        <v>615</v>
      </c>
      <c r="C5196" s="89">
        <v>870100</v>
      </c>
      <c r="D5196" s="89" t="s">
        <v>663</v>
      </c>
    </row>
    <row r="5197" spans="1:4" x14ac:dyDescent="0.25">
      <c r="A5197" s="89" t="s">
        <v>127</v>
      </c>
      <c r="B5197" s="89" t="s">
        <v>615</v>
      </c>
      <c r="C5197" s="89">
        <v>1084850</v>
      </c>
      <c r="D5197" s="89" t="s">
        <v>664</v>
      </c>
    </row>
    <row r="5198" spans="1:4" x14ac:dyDescent="0.25">
      <c r="A5198" s="89" t="s">
        <v>127</v>
      </c>
      <c r="B5198" s="89" t="s">
        <v>615</v>
      </c>
      <c r="C5198" s="89">
        <v>413938</v>
      </c>
      <c r="D5198" s="89" t="s">
        <v>663</v>
      </c>
    </row>
    <row r="5199" spans="1:4" x14ac:dyDescent="0.25">
      <c r="A5199" s="89" t="s">
        <v>127</v>
      </c>
      <c r="B5199" s="89" t="s">
        <v>615</v>
      </c>
      <c r="C5199" s="89">
        <v>407359</v>
      </c>
      <c r="D5199" s="89" t="s">
        <v>664</v>
      </c>
    </row>
    <row r="5200" spans="1:4" x14ac:dyDescent="0.25">
      <c r="A5200" s="89" t="s">
        <v>127</v>
      </c>
      <c r="B5200" s="89" t="s">
        <v>615</v>
      </c>
      <c r="C5200" s="89">
        <v>809621</v>
      </c>
      <c r="D5200" s="89" t="s">
        <v>663</v>
      </c>
    </row>
    <row r="5201" spans="1:4" x14ac:dyDescent="0.25">
      <c r="A5201" s="89" t="s">
        <v>127</v>
      </c>
      <c r="B5201" s="89" t="s">
        <v>615</v>
      </c>
      <c r="C5201" s="89">
        <v>640241</v>
      </c>
      <c r="D5201" s="89" t="s">
        <v>663</v>
      </c>
    </row>
    <row r="5202" spans="1:4" x14ac:dyDescent="0.25">
      <c r="A5202" s="89" t="s">
        <v>127</v>
      </c>
      <c r="B5202" s="89" t="s">
        <v>615</v>
      </c>
      <c r="C5202" s="89">
        <v>245438.32</v>
      </c>
      <c r="D5202" s="89" t="s">
        <v>664</v>
      </c>
    </row>
    <row r="5203" spans="1:4" x14ac:dyDescent="0.25">
      <c r="A5203" s="89" t="s">
        <v>127</v>
      </c>
      <c r="B5203" s="89" t="s">
        <v>615</v>
      </c>
      <c r="C5203" s="89">
        <v>362759.69</v>
      </c>
      <c r="D5203" s="89" t="s">
        <v>663</v>
      </c>
    </row>
    <row r="5204" spans="1:4" x14ac:dyDescent="0.25">
      <c r="A5204" s="89" t="s">
        <v>127</v>
      </c>
      <c r="B5204" s="89" t="s">
        <v>615</v>
      </c>
      <c r="C5204" s="89">
        <v>-195729.81</v>
      </c>
      <c r="D5204" s="89" t="s">
        <v>664</v>
      </c>
    </row>
    <row r="5205" spans="1:4" x14ac:dyDescent="0.25">
      <c r="A5205" s="89" t="s">
        <v>127</v>
      </c>
      <c r="B5205" s="89" t="s">
        <v>615</v>
      </c>
      <c r="C5205" s="89">
        <v>289602</v>
      </c>
      <c r="D5205" s="89" t="s">
        <v>664</v>
      </c>
    </row>
    <row r="5206" spans="1:4" x14ac:dyDescent="0.25">
      <c r="A5206" s="89" t="s">
        <v>127</v>
      </c>
      <c r="B5206" s="89" t="s">
        <v>615</v>
      </c>
      <c r="C5206" s="89">
        <v>216153</v>
      </c>
      <c r="D5206" s="89" t="s">
        <v>664</v>
      </c>
    </row>
    <row r="5207" spans="1:4" x14ac:dyDescent="0.25">
      <c r="A5207" s="89" t="s">
        <v>127</v>
      </c>
      <c r="B5207" s="89" t="s">
        <v>615</v>
      </c>
      <c r="C5207" s="89">
        <v>1372487</v>
      </c>
      <c r="D5207" s="89" t="s">
        <v>666</v>
      </c>
    </row>
    <row r="5208" spans="1:4" x14ac:dyDescent="0.25">
      <c r="A5208" s="89" t="s">
        <v>127</v>
      </c>
      <c r="B5208" s="89" t="s">
        <v>615</v>
      </c>
      <c r="C5208" s="89">
        <v>254822.17</v>
      </c>
      <c r="D5208" s="89" t="s">
        <v>663</v>
      </c>
    </row>
    <row r="5209" spans="1:4" x14ac:dyDescent="0.25">
      <c r="A5209" s="89" t="s">
        <v>127</v>
      </c>
      <c r="B5209" s="89" t="s">
        <v>615</v>
      </c>
      <c r="C5209" s="89">
        <v>167408</v>
      </c>
      <c r="D5209" s="89" t="s">
        <v>663</v>
      </c>
    </row>
    <row r="5210" spans="1:4" x14ac:dyDescent="0.25">
      <c r="A5210" s="89" t="s">
        <v>127</v>
      </c>
      <c r="B5210" s="89" t="s">
        <v>615</v>
      </c>
      <c r="C5210" s="89">
        <v>215097</v>
      </c>
      <c r="D5210" s="89" t="s">
        <v>663</v>
      </c>
    </row>
    <row r="5211" spans="1:4" x14ac:dyDescent="0.25">
      <c r="A5211" s="89" t="s">
        <v>127</v>
      </c>
      <c r="B5211" s="89" t="s">
        <v>615</v>
      </c>
      <c r="C5211" s="89">
        <v>207450</v>
      </c>
      <c r="D5211" s="89" t="s">
        <v>664</v>
      </c>
    </row>
    <row r="5212" spans="1:4" x14ac:dyDescent="0.25">
      <c r="A5212" s="89" t="s">
        <v>127</v>
      </c>
      <c r="B5212" s="89" t="s">
        <v>615</v>
      </c>
      <c r="C5212" s="89">
        <v>292500</v>
      </c>
      <c r="D5212" s="89" t="s">
        <v>663</v>
      </c>
    </row>
    <row r="5213" spans="1:4" x14ac:dyDescent="0.25">
      <c r="A5213" s="89" t="s">
        <v>127</v>
      </c>
      <c r="B5213" s="89" t="s">
        <v>615</v>
      </c>
      <c r="C5213" s="89">
        <v>77395</v>
      </c>
      <c r="D5213" s="89" t="s">
        <v>664</v>
      </c>
    </row>
    <row r="5214" spans="1:4" x14ac:dyDescent="0.25">
      <c r="A5214" s="89" t="s">
        <v>127</v>
      </c>
      <c r="B5214" s="89" t="s">
        <v>615</v>
      </c>
      <c r="C5214" s="89">
        <v>227256</v>
      </c>
      <c r="D5214" s="89" t="s">
        <v>664</v>
      </c>
    </row>
    <row r="5215" spans="1:4" x14ac:dyDescent="0.25">
      <c r="A5215" s="89" t="s">
        <v>20</v>
      </c>
      <c r="B5215" s="89" t="s">
        <v>616</v>
      </c>
      <c r="C5215" s="89">
        <v>393800</v>
      </c>
      <c r="D5215" s="89" t="s">
        <v>664</v>
      </c>
    </row>
    <row r="5216" spans="1:4" x14ac:dyDescent="0.25">
      <c r="A5216" s="89" t="s">
        <v>20</v>
      </c>
      <c r="B5216" s="89" t="s">
        <v>616</v>
      </c>
      <c r="C5216" s="89">
        <v>6291627</v>
      </c>
      <c r="D5216" s="89" t="s">
        <v>663</v>
      </c>
    </row>
    <row r="5217" spans="1:4" x14ac:dyDescent="0.25">
      <c r="A5217" s="89" t="s">
        <v>20</v>
      </c>
      <c r="B5217" s="89" t="s">
        <v>616</v>
      </c>
      <c r="C5217" s="89">
        <v>2121900</v>
      </c>
      <c r="D5217" s="89" t="s">
        <v>663</v>
      </c>
    </row>
    <row r="5218" spans="1:4" x14ac:dyDescent="0.25">
      <c r="A5218" s="89" t="s">
        <v>20</v>
      </c>
      <c r="B5218" s="89" t="s">
        <v>616</v>
      </c>
      <c r="C5218" s="89">
        <v>537640</v>
      </c>
      <c r="D5218" s="89" t="s">
        <v>666</v>
      </c>
    </row>
    <row r="5219" spans="1:4" x14ac:dyDescent="0.25">
      <c r="A5219" s="89" t="s">
        <v>20</v>
      </c>
      <c r="B5219" s="89" t="s">
        <v>616</v>
      </c>
      <c r="C5219" s="89">
        <v>3966708</v>
      </c>
      <c r="D5219" s="89" t="s">
        <v>663</v>
      </c>
    </row>
    <row r="5220" spans="1:4" x14ac:dyDescent="0.25">
      <c r="A5220" s="89" t="s">
        <v>20</v>
      </c>
      <c r="B5220" s="89" t="s">
        <v>616</v>
      </c>
      <c r="C5220" s="89">
        <v>4318890</v>
      </c>
      <c r="D5220" s="89" t="s">
        <v>663</v>
      </c>
    </row>
    <row r="5221" spans="1:4" x14ac:dyDescent="0.25">
      <c r="A5221" s="89" t="s">
        <v>20</v>
      </c>
      <c r="B5221" s="89" t="s">
        <v>616</v>
      </c>
      <c r="C5221" s="89">
        <v>7416230</v>
      </c>
      <c r="D5221" s="89" t="s">
        <v>663</v>
      </c>
    </row>
    <row r="5222" spans="1:4" x14ac:dyDescent="0.25">
      <c r="A5222" s="89" t="s">
        <v>20</v>
      </c>
      <c r="B5222" s="89" t="s">
        <v>616</v>
      </c>
      <c r="C5222" s="89">
        <v>8143703</v>
      </c>
      <c r="D5222" s="89" t="s">
        <v>663</v>
      </c>
    </row>
    <row r="5223" spans="1:4" x14ac:dyDescent="0.25">
      <c r="A5223" s="89" t="s">
        <v>20</v>
      </c>
      <c r="B5223" s="89" t="s">
        <v>616</v>
      </c>
      <c r="C5223" s="89">
        <v>300000</v>
      </c>
      <c r="D5223" s="89" t="s">
        <v>666</v>
      </c>
    </row>
    <row r="5224" spans="1:4" x14ac:dyDescent="0.25">
      <c r="A5224" s="89" t="s">
        <v>20</v>
      </c>
      <c r="B5224" s="89" t="s">
        <v>616</v>
      </c>
      <c r="C5224" s="89">
        <v>45594.41</v>
      </c>
      <c r="D5224" s="89" t="s">
        <v>664</v>
      </c>
    </row>
    <row r="5225" spans="1:4" x14ac:dyDescent="0.25">
      <c r="A5225" s="89" t="s">
        <v>20</v>
      </c>
      <c r="B5225" s="89" t="s">
        <v>616</v>
      </c>
      <c r="C5225" s="89">
        <v>618747</v>
      </c>
      <c r="D5225" s="89" t="s">
        <v>663</v>
      </c>
    </row>
    <row r="5226" spans="1:4" x14ac:dyDescent="0.25">
      <c r="A5226" s="89" t="s">
        <v>20</v>
      </c>
      <c r="B5226" s="89" t="s">
        <v>616</v>
      </c>
      <c r="C5226" s="89">
        <v>36082.800000000003</v>
      </c>
      <c r="D5226" s="89" t="s">
        <v>664</v>
      </c>
    </row>
    <row r="5227" spans="1:4" x14ac:dyDescent="0.25">
      <c r="A5227" s="89" t="s">
        <v>20</v>
      </c>
      <c r="B5227" s="89" t="s">
        <v>616</v>
      </c>
      <c r="C5227" s="89">
        <v>3236250</v>
      </c>
      <c r="D5227" s="89" t="s">
        <v>663</v>
      </c>
    </row>
    <row r="5228" spans="1:4" x14ac:dyDescent="0.25">
      <c r="A5228" s="89" t="s">
        <v>20</v>
      </c>
      <c r="B5228" s="89" t="s">
        <v>616</v>
      </c>
      <c r="C5228" s="89">
        <v>798399</v>
      </c>
      <c r="D5228" s="89" t="s">
        <v>664</v>
      </c>
    </row>
    <row r="5229" spans="1:4" x14ac:dyDescent="0.25">
      <c r="A5229" s="89" t="s">
        <v>20</v>
      </c>
      <c r="B5229" s="89" t="s">
        <v>616</v>
      </c>
      <c r="C5229" s="89">
        <v>646573.24</v>
      </c>
      <c r="D5229" s="89" t="s">
        <v>666</v>
      </c>
    </row>
    <row r="5230" spans="1:4" x14ac:dyDescent="0.25">
      <c r="A5230" s="89" t="s">
        <v>20</v>
      </c>
      <c r="B5230" s="89" t="s">
        <v>616</v>
      </c>
      <c r="C5230" s="89">
        <v>18241152.620000001</v>
      </c>
      <c r="D5230" s="89" t="s">
        <v>663</v>
      </c>
    </row>
    <row r="5231" spans="1:4" x14ac:dyDescent="0.25">
      <c r="A5231" s="89" t="s">
        <v>20</v>
      </c>
      <c r="B5231" s="89" t="s">
        <v>616</v>
      </c>
      <c r="C5231" s="89">
        <v>4048771</v>
      </c>
      <c r="D5231" s="89" t="s">
        <v>663</v>
      </c>
    </row>
    <row r="5232" spans="1:4" x14ac:dyDescent="0.25">
      <c r="A5232" s="89" t="s">
        <v>20</v>
      </c>
      <c r="B5232" s="89" t="s">
        <v>616</v>
      </c>
      <c r="C5232" s="89">
        <v>359277.21</v>
      </c>
      <c r="D5232" s="89" t="s">
        <v>666</v>
      </c>
    </row>
    <row r="5233" spans="1:4" x14ac:dyDescent="0.25">
      <c r="A5233" s="89" t="s">
        <v>20</v>
      </c>
      <c r="B5233" s="89" t="s">
        <v>616</v>
      </c>
      <c r="C5233" s="89">
        <v>3076471.06</v>
      </c>
      <c r="D5233" s="89" t="s">
        <v>663</v>
      </c>
    </row>
    <row r="5234" spans="1:4" x14ac:dyDescent="0.25">
      <c r="A5234" s="89" t="s">
        <v>20</v>
      </c>
      <c r="B5234" s="89" t="s">
        <v>616</v>
      </c>
      <c r="C5234" s="89">
        <v>-1398753.85</v>
      </c>
      <c r="D5234" s="89" t="s">
        <v>663</v>
      </c>
    </row>
    <row r="5235" spans="1:4" x14ac:dyDescent="0.25">
      <c r="A5235" s="89" t="s">
        <v>20</v>
      </c>
      <c r="B5235" s="89" t="s">
        <v>616</v>
      </c>
      <c r="C5235" s="89">
        <v>3197453</v>
      </c>
      <c r="D5235" s="89" t="s">
        <v>663</v>
      </c>
    </row>
    <row r="5236" spans="1:4" x14ac:dyDescent="0.25">
      <c r="A5236" s="89" t="s">
        <v>20</v>
      </c>
      <c r="B5236" s="89" t="s">
        <v>616</v>
      </c>
      <c r="C5236" s="89">
        <v>2525617</v>
      </c>
      <c r="D5236" s="89" t="s">
        <v>664</v>
      </c>
    </row>
    <row r="5237" spans="1:4" x14ac:dyDescent="0.25">
      <c r="A5237" s="89" t="s">
        <v>20</v>
      </c>
      <c r="B5237" s="89" t="s">
        <v>616</v>
      </c>
      <c r="C5237" s="89">
        <v>442665.27</v>
      </c>
      <c r="D5237" s="89" t="s">
        <v>666</v>
      </c>
    </row>
    <row r="5238" spans="1:4" x14ac:dyDescent="0.25">
      <c r="A5238" s="89" t="s">
        <v>20</v>
      </c>
      <c r="B5238" s="89" t="s">
        <v>616</v>
      </c>
      <c r="C5238" s="89">
        <v>5726250</v>
      </c>
      <c r="D5238" s="89" t="s">
        <v>663</v>
      </c>
    </row>
    <row r="5239" spans="1:4" x14ac:dyDescent="0.25">
      <c r="A5239" s="89" t="s">
        <v>20</v>
      </c>
      <c r="B5239" s="89" t="s">
        <v>616</v>
      </c>
      <c r="C5239" s="89">
        <v>208000</v>
      </c>
      <c r="D5239" s="89" t="s">
        <v>664</v>
      </c>
    </row>
    <row r="5240" spans="1:4" x14ac:dyDescent="0.25">
      <c r="A5240" s="89" t="s">
        <v>20</v>
      </c>
      <c r="B5240" s="89" t="s">
        <v>616</v>
      </c>
      <c r="C5240" s="89">
        <v>175000</v>
      </c>
      <c r="D5240" s="89" t="s">
        <v>664</v>
      </c>
    </row>
    <row r="5241" spans="1:4" x14ac:dyDescent="0.25">
      <c r="A5241" s="89" t="s">
        <v>20</v>
      </c>
      <c r="B5241" s="89" t="s">
        <v>616</v>
      </c>
      <c r="C5241" s="89">
        <v>231500</v>
      </c>
      <c r="D5241" s="89" t="s">
        <v>664</v>
      </c>
    </row>
    <row r="5242" spans="1:4" x14ac:dyDescent="0.25">
      <c r="A5242" s="89" t="s">
        <v>20</v>
      </c>
      <c r="B5242" s="89" t="s">
        <v>616</v>
      </c>
      <c r="C5242" s="89">
        <v>4750032.68</v>
      </c>
      <c r="D5242" s="89" t="s">
        <v>663</v>
      </c>
    </row>
    <row r="5243" spans="1:4" x14ac:dyDescent="0.25">
      <c r="A5243" s="89" t="s">
        <v>20</v>
      </c>
      <c r="B5243" s="89" t="s">
        <v>616</v>
      </c>
      <c r="C5243" s="89">
        <v>3501731.22</v>
      </c>
      <c r="D5243" s="89" t="s">
        <v>663</v>
      </c>
    </row>
    <row r="5244" spans="1:4" x14ac:dyDescent="0.25">
      <c r="A5244" s="89" t="s">
        <v>20</v>
      </c>
      <c r="B5244" s="89" t="s">
        <v>616</v>
      </c>
      <c r="C5244" s="89">
        <v>1380370</v>
      </c>
      <c r="D5244" s="89" t="s">
        <v>663</v>
      </c>
    </row>
    <row r="5245" spans="1:4" x14ac:dyDescent="0.25">
      <c r="A5245" s="89" t="s">
        <v>20</v>
      </c>
      <c r="B5245" s="89" t="s">
        <v>616</v>
      </c>
      <c r="C5245" s="89">
        <v>970175.68</v>
      </c>
      <c r="D5245" s="89" t="s">
        <v>666</v>
      </c>
    </row>
    <row r="5246" spans="1:4" x14ac:dyDescent="0.25">
      <c r="A5246" s="89" t="s">
        <v>20</v>
      </c>
      <c r="B5246" s="89" t="s">
        <v>616</v>
      </c>
      <c r="C5246" s="89">
        <v>3473013.23</v>
      </c>
      <c r="D5246" s="89" t="s">
        <v>665</v>
      </c>
    </row>
    <row r="5247" spans="1:4" x14ac:dyDescent="0.25">
      <c r="A5247" s="89" t="s">
        <v>20</v>
      </c>
      <c r="B5247" s="89" t="s">
        <v>616</v>
      </c>
      <c r="C5247" s="89">
        <v>220474.34</v>
      </c>
      <c r="D5247" s="89" t="s">
        <v>666</v>
      </c>
    </row>
    <row r="5248" spans="1:4" x14ac:dyDescent="0.25">
      <c r="A5248" s="89" t="s">
        <v>20</v>
      </c>
      <c r="B5248" s="89" t="s">
        <v>616</v>
      </c>
      <c r="C5248" s="89">
        <v>2801797.2</v>
      </c>
      <c r="D5248" s="89" t="s">
        <v>663</v>
      </c>
    </row>
    <row r="5249" spans="1:4" x14ac:dyDescent="0.25">
      <c r="A5249" s="89" t="s">
        <v>20</v>
      </c>
      <c r="B5249" s="89" t="s">
        <v>616</v>
      </c>
      <c r="C5249" s="89">
        <v>129215</v>
      </c>
      <c r="D5249" s="89" t="s">
        <v>664</v>
      </c>
    </row>
    <row r="5250" spans="1:4" x14ac:dyDescent="0.25">
      <c r="A5250" s="89" t="s">
        <v>20</v>
      </c>
      <c r="B5250" s="89" t="s">
        <v>616</v>
      </c>
      <c r="C5250" s="89">
        <v>4011050.39</v>
      </c>
      <c r="D5250" s="89" t="s">
        <v>663</v>
      </c>
    </row>
    <row r="5251" spans="1:4" x14ac:dyDescent="0.25">
      <c r="A5251" s="89" t="s">
        <v>20</v>
      </c>
      <c r="B5251" s="89" t="s">
        <v>616</v>
      </c>
      <c r="C5251" s="89">
        <v>294218.27</v>
      </c>
      <c r="D5251" s="89" t="s">
        <v>664</v>
      </c>
    </row>
    <row r="5252" spans="1:4" x14ac:dyDescent="0.25">
      <c r="A5252" s="89" t="s">
        <v>20</v>
      </c>
      <c r="B5252" s="89" t="s">
        <v>616</v>
      </c>
      <c r="C5252" s="89">
        <v>2310374</v>
      </c>
      <c r="D5252" s="89" t="s">
        <v>663</v>
      </c>
    </row>
    <row r="5253" spans="1:4" x14ac:dyDescent="0.25">
      <c r="A5253" s="89" t="s">
        <v>20</v>
      </c>
      <c r="B5253" s="89" t="s">
        <v>616</v>
      </c>
      <c r="C5253" s="89">
        <v>411117.68</v>
      </c>
      <c r="D5253" s="89" t="s">
        <v>663</v>
      </c>
    </row>
    <row r="5254" spans="1:4" x14ac:dyDescent="0.25">
      <c r="A5254" s="89" t="s">
        <v>20</v>
      </c>
      <c r="B5254" s="89" t="s">
        <v>616</v>
      </c>
      <c r="C5254" s="89">
        <v>4145822.77</v>
      </c>
      <c r="D5254" s="89" t="s">
        <v>663</v>
      </c>
    </row>
    <row r="5255" spans="1:4" x14ac:dyDescent="0.25">
      <c r="A5255" s="89" t="s">
        <v>20</v>
      </c>
      <c r="B5255" s="89" t="s">
        <v>616</v>
      </c>
      <c r="C5255" s="89">
        <v>593099</v>
      </c>
      <c r="D5255" s="89" t="s">
        <v>666</v>
      </c>
    </row>
    <row r="5256" spans="1:4" x14ac:dyDescent="0.25">
      <c r="A5256" s="89" t="s">
        <v>20</v>
      </c>
      <c r="B5256" s="89" t="s">
        <v>616</v>
      </c>
      <c r="C5256" s="89">
        <v>6469201</v>
      </c>
      <c r="D5256" s="89" t="s">
        <v>663</v>
      </c>
    </row>
    <row r="5257" spans="1:4" x14ac:dyDescent="0.25">
      <c r="A5257" s="89" t="s">
        <v>20</v>
      </c>
      <c r="B5257" s="89" t="s">
        <v>616</v>
      </c>
      <c r="C5257" s="89">
        <v>189273</v>
      </c>
      <c r="D5257" s="89" t="s">
        <v>666</v>
      </c>
    </row>
    <row r="5258" spans="1:4" x14ac:dyDescent="0.25">
      <c r="A5258" s="89" t="s">
        <v>20</v>
      </c>
      <c r="B5258" s="89" t="s">
        <v>616</v>
      </c>
      <c r="C5258" s="89">
        <v>4939.82</v>
      </c>
      <c r="D5258" s="89" t="s">
        <v>664</v>
      </c>
    </row>
    <row r="5259" spans="1:4" x14ac:dyDescent="0.25">
      <c r="A5259" s="89" t="s">
        <v>20</v>
      </c>
      <c r="B5259" s="89" t="s">
        <v>616</v>
      </c>
      <c r="C5259" s="89">
        <v>367674.13</v>
      </c>
      <c r="D5259" s="89" t="s">
        <v>663</v>
      </c>
    </row>
    <row r="5260" spans="1:4" x14ac:dyDescent="0.25">
      <c r="A5260" s="89" t="s">
        <v>20</v>
      </c>
      <c r="B5260" s="89" t="s">
        <v>616</v>
      </c>
      <c r="C5260" s="89">
        <v>3601930.79</v>
      </c>
      <c r="D5260" s="89" t="s">
        <v>663</v>
      </c>
    </row>
    <row r="5261" spans="1:4" x14ac:dyDescent="0.25">
      <c r="A5261" s="89" t="s">
        <v>20</v>
      </c>
      <c r="B5261" s="89" t="s">
        <v>616</v>
      </c>
      <c r="C5261" s="89">
        <v>573805.55000000005</v>
      </c>
      <c r="D5261" s="89" t="s">
        <v>664</v>
      </c>
    </row>
    <row r="5262" spans="1:4" x14ac:dyDescent="0.25">
      <c r="A5262" s="89" t="s">
        <v>20</v>
      </c>
      <c r="B5262" s="89" t="s">
        <v>616</v>
      </c>
      <c r="C5262" s="89">
        <v>455514.52</v>
      </c>
      <c r="D5262" s="89" t="s">
        <v>666</v>
      </c>
    </row>
    <row r="5263" spans="1:4" x14ac:dyDescent="0.25">
      <c r="A5263" s="89" t="s">
        <v>20</v>
      </c>
      <c r="B5263" s="89" t="s">
        <v>616</v>
      </c>
      <c r="C5263" s="89">
        <v>300145.93</v>
      </c>
      <c r="D5263" s="89" t="s">
        <v>666</v>
      </c>
    </row>
    <row r="5264" spans="1:4" x14ac:dyDescent="0.25">
      <c r="A5264" s="89" t="s">
        <v>20</v>
      </c>
      <c r="B5264" s="89" t="s">
        <v>616</v>
      </c>
      <c r="C5264" s="89">
        <v>50000</v>
      </c>
      <c r="D5264" s="89" t="s">
        <v>666</v>
      </c>
    </row>
    <row r="5265" spans="1:4" x14ac:dyDescent="0.25">
      <c r="A5265" s="89" t="s">
        <v>20</v>
      </c>
      <c r="B5265" s="89" t="s">
        <v>616</v>
      </c>
      <c r="C5265" s="89">
        <v>5621756.8700000001</v>
      </c>
      <c r="D5265" s="89" t="s">
        <v>663</v>
      </c>
    </row>
    <row r="5266" spans="1:4" x14ac:dyDescent="0.25">
      <c r="A5266" s="89" t="s">
        <v>20</v>
      </c>
      <c r="B5266" s="89" t="s">
        <v>616</v>
      </c>
      <c r="C5266" s="89">
        <v>58716.71</v>
      </c>
      <c r="D5266" s="89" t="s">
        <v>666</v>
      </c>
    </row>
    <row r="5267" spans="1:4" x14ac:dyDescent="0.25">
      <c r="A5267" s="89" t="s">
        <v>19</v>
      </c>
      <c r="B5267" s="89" t="s">
        <v>616</v>
      </c>
      <c r="C5267" s="89">
        <v>50000</v>
      </c>
      <c r="D5267" s="89" t="s">
        <v>666</v>
      </c>
    </row>
    <row r="5268" spans="1:4" x14ac:dyDescent="0.25">
      <c r="A5268" s="89" t="s">
        <v>19</v>
      </c>
      <c r="B5268" s="89" t="s">
        <v>616</v>
      </c>
      <c r="C5268" s="89">
        <v>982855</v>
      </c>
      <c r="D5268" s="89" t="s">
        <v>666</v>
      </c>
    </row>
    <row r="5269" spans="1:4" x14ac:dyDescent="0.25">
      <c r="A5269" s="89" t="s">
        <v>19</v>
      </c>
      <c r="B5269" s="89" t="s">
        <v>616</v>
      </c>
      <c r="C5269" s="89">
        <v>50000</v>
      </c>
      <c r="D5269" s="89" t="s">
        <v>666</v>
      </c>
    </row>
    <row r="5270" spans="1:4" x14ac:dyDescent="0.25">
      <c r="A5270" s="89" t="s">
        <v>19</v>
      </c>
      <c r="B5270" s="89" t="s">
        <v>616</v>
      </c>
      <c r="C5270" s="89">
        <v>597937</v>
      </c>
      <c r="D5270" s="89" t="s">
        <v>666</v>
      </c>
    </row>
    <row r="5271" spans="1:4" x14ac:dyDescent="0.25">
      <c r="A5271" s="89" t="s">
        <v>19</v>
      </c>
      <c r="B5271" s="89" t="s">
        <v>616</v>
      </c>
      <c r="C5271" s="89">
        <v>1155136.47</v>
      </c>
      <c r="D5271" s="89" t="s">
        <v>666</v>
      </c>
    </row>
    <row r="5272" spans="1:4" x14ac:dyDescent="0.25">
      <c r="A5272" s="89" t="s">
        <v>19</v>
      </c>
      <c r="B5272" s="89" t="s">
        <v>616</v>
      </c>
      <c r="C5272" s="89">
        <v>1227275</v>
      </c>
      <c r="D5272" s="89" t="s">
        <v>666</v>
      </c>
    </row>
    <row r="5273" spans="1:4" x14ac:dyDescent="0.25">
      <c r="A5273" s="89" t="s">
        <v>19</v>
      </c>
      <c r="B5273" s="89" t="s">
        <v>616</v>
      </c>
      <c r="C5273" s="89">
        <v>50000</v>
      </c>
      <c r="D5273" s="89" t="s">
        <v>666</v>
      </c>
    </row>
    <row r="5274" spans="1:4" x14ac:dyDescent="0.25">
      <c r="A5274" s="89" t="s">
        <v>19</v>
      </c>
      <c r="B5274" s="89" t="s">
        <v>616</v>
      </c>
      <c r="C5274" s="89">
        <v>433022</v>
      </c>
      <c r="D5274" s="89" t="s">
        <v>666</v>
      </c>
    </row>
    <row r="5275" spans="1:4" x14ac:dyDescent="0.25">
      <c r="A5275" s="89" t="s">
        <v>19</v>
      </c>
      <c r="B5275" s="89" t="s">
        <v>616</v>
      </c>
      <c r="C5275" s="89">
        <v>512305</v>
      </c>
      <c r="D5275" s="89" t="s">
        <v>666</v>
      </c>
    </row>
    <row r="5276" spans="1:4" x14ac:dyDescent="0.25">
      <c r="A5276" s="89" t="s">
        <v>72</v>
      </c>
      <c r="B5276" s="89" t="s">
        <v>617</v>
      </c>
      <c r="C5276" s="89">
        <v>524795.76</v>
      </c>
      <c r="D5276" s="89" t="s">
        <v>666</v>
      </c>
    </row>
    <row r="5277" spans="1:4" x14ac:dyDescent="0.25">
      <c r="A5277" s="89" t="s">
        <v>72</v>
      </c>
      <c r="B5277" s="89" t="s">
        <v>617</v>
      </c>
      <c r="C5277" s="89">
        <v>268471.55</v>
      </c>
      <c r="D5277" s="89" t="s">
        <v>663</v>
      </c>
    </row>
    <row r="5278" spans="1:4" x14ac:dyDescent="0.25">
      <c r="A5278" s="89" t="s">
        <v>72</v>
      </c>
      <c r="B5278" s="89" t="s">
        <v>617</v>
      </c>
      <c r="C5278" s="89">
        <v>929828</v>
      </c>
      <c r="D5278" s="89" t="s">
        <v>664</v>
      </c>
    </row>
    <row r="5279" spans="1:4" x14ac:dyDescent="0.25">
      <c r="A5279" s="89" t="s">
        <v>72</v>
      </c>
      <c r="B5279" s="89" t="s">
        <v>617</v>
      </c>
      <c r="C5279" s="89">
        <v>350982.45</v>
      </c>
      <c r="D5279" s="89" t="s">
        <v>663</v>
      </c>
    </row>
    <row r="5280" spans="1:4" x14ac:dyDescent="0.25">
      <c r="A5280" s="89" t="s">
        <v>72</v>
      </c>
      <c r="B5280" s="89" t="s">
        <v>617</v>
      </c>
      <c r="C5280" s="89">
        <v>104474</v>
      </c>
      <c r="D5280" s="89" t="s">
        <v>666</v>
      </c>
    </row>
    <row r="5281" spans="1:4" x14ac:dyDescent="0.25">
      <c r="A5281" s="89" t="s">
        <v>72</v>
      </c>
      <c r="B5281" s="89" t="s">
        <v>617</v>
      </c>
      <c r="C5281" s="89">
        <v>340148</v>
      </c>
      <c r="D5281" s="89" t="s">
        <v>666</v>
      </c>
    </row>
    <row r="5282" spans="1:4" x14ac:dyDescent="0.25">
      <c r="A5282" s="89" t="s">
        <v>72</v>
      </c>
      <c r="B5282" s="89" t="s">
        <v>617</v>
      </c>
      <c r="C5282" s="89">
        <v>215095</v>
      </c>
      <c r="D5282" s="89" t="s">
        <v>666</v>
      </c>
    </row>
    <row r="5283" spans="1:4" x14ac:dyDescent="0.25">
      <c r="A5283" s="89" t="s">
        <v>72</v>
      </c>
      <c r="B5283" s="89" t="s">
        <v>617</v>
      </c>
      <c r="C5283" s="89">
        <v>169701</v>
      </c>
      <c r="D5283" s="89" t="s">
        <v>663</v>
      </c>
    </row>
    <row r="5284" spans="1:4" x14ac:dyDescent="0.25">
      <c r="A5284" s="89" t="s">
        <v>72</v>
      </c>
      <c r="B5284" s="89" t="s">
        <v>617</v>
      </c>
      <c r="C5284" s="89">
        <v>950725</v>
      </c>
      <c r="D5284" s="89" t="s">
        <v>663</v>
      </c>
    </row>
    <row r="5285" spans="1:4" x14ac:dyDescent="0.25">
      <c r="A5285" s="89" t="s">
        <v>72</v>
      </c>
      <c r="B5285" s="89" t="s">
        <v>617</v>
      </c>
      <c r="C5285" s="89">
        <v>292005</v>
      </c>
      <c r="D5285" s="89" t="s">
        <v>664</v>
      </c>
    </row>
    <row r="5286" spans="1:4" x14ac:dyDescent="0.25">
      <c r="A5286" s="89" t="s">
        <v>72</v>
      </c>
      <c r="B5286" s="89" t="s">
        <v>617</v>
      </c>
      <c r="C5286" s="89">
        <v>2370389</v>
      </c>
      <c r="D5286" s="89" t="s">
        <v>663</v>
      </c>
    </row>
    <row r="5287" spans="1:4" x14ac:dyDescent="0.25">
      <c r="A5287" s="89" t="s">
        <v>72</v>
      </c>
      <c r="B5287" s="89" t="s">
        <v>617</v>
      </c>
      <c r="C5287" s="89">
        <v>512873</v>
      </c>
      <c r="D5287" s="89" t="s">
        <v>664</v>
      </c>
    </row>
    <row r="5288" spans="1:4" x14ac:dyDescent="0.25">
      <c r="A5288" s="89" t="s">
        <v>72</v>
      </c>
      <c r="B5288" s="89" t="s">
        <v>617</v>
      </c>
      <c r="C5288" s="89">
        <v>1137135</v>
      </c>
      <c r="D5288" s="89" t="s">
        <v>663</v>
      </c>
    </row>
    <row r="5289" spans="1:4" x14ac:dyDescent="0.25">
      <c r="A5289" s="89" t="s">
        <v>72</v>
      </c>
      <c r="B5289" s="89" t="s">
        <v>617</v>
      </c>
      <c r="C5289" s="89">
        <v>256671</v>
      </c>
      <c r="D5289" s="89" t="s">
        <v>663</v>
      </c>
    </row>
    <row r="5290" spans="1:4" x14ac:dyDescent="0.25">
      <c r="A5290" s="89" t="s">
        <v>72</v>
      </c>
      <c r="B5290" s="89" t="s">
        <v>617</v>
      </c>
      <c r="C5290" s="89">
        <v>2077665</v>
      </c>
      <c r="D5290" s="89" t="s">
        <v>663</v>
      </c>
    </row>
    <row r="5291" spans="1:4" x14ac:dyDescent="0.25">
      <c r="A5291" s="89" t="s">
        <v>72</v>
      </c>
      <c r="B5291" s="89" t="s">
        <v>617</v>
      </c>
      <c r="C5291" s="89">
        <v>446384</v>
      </c>
      <c r="D5291" s="89" t="s">
        <v>663</v>
      </c>
    </row>
    <row r="5292" spans="1:4" x14ac:dyDescent="0.25">
      <c r="A5292" s="89" t="s">
        <v>72</v>
      </c>
      <c r="B5292" s="89" t="s">
        <v>617</v>
      </c>
      <c r="C5292" s="89">
        <v>6307804</v>
      </c>
      <c r="D5292" s="89" t="s">
        <v>663</v>
      </c>
    </row>
    <row r="5293" spans="1:4" x14ac:dyDescent="0.25">
      <c r="A5293" s="89" t="s">
        <v>72</v>
      </c>
      <c r="B5293" s="89" t="s">
        <v>617</v>
      </c>
      <c r="C5293" s="89">
        <v>7251762</v>
      </c>
      <c r="D5293" s="89" t="s">
        <v>666</v>
      </c>
    </row>
    <row r="5294" spans="1:4" x14ac:dyDescent="0.25">
      <c r="A5294" s="89" t="s">
        <v>72</v>
      </c>
      <c r="B5294" s="89" t="s">
        <v>617</v>
      </c>
      <c r="C5294" s="89">
        <v>3116336.46</v>
      </c>
      <c r="D5294" s="89" t="s">
        <v>664</v>
      </c>
    </row>
    <row r="5295" spans="1:4" x14ac:dyDescent="0.25">
      <c r="A5295" s="89" t="s">
        <v>72</v>
      </c>
      <c r="B5295" s="89" t="s">
        <v>617</v>
      </c>
      <c r="C5295" s="89">
        <v>1359151</v>
      </c>
      <c r="D5295" s="89" t="s">
        <v>666</v>
      </c>
    </row>
    <row r="5296" spans="1:4" x14ac:dyDescent="0.25">
      <c r="A5296" s="89" t="s">
        <v>72</v>
      </c>
      <c r="B5296" s="89" t="s">
        <v>617</v>
      </c>
      <c r="C5296" s="89">
        <v>161385</v>
      </c>
      <c r="D5296" s="89" t="s">
        <v>664</v>
      </c>
    </row>
    <row r="5297" spans="1:4" x14ac:dyDescent="0.25">
      <c r="A5297" s="89" t="s">
        <v>72</v>
      </c>
      <c r="B5297" s="89" t="s">
        <v>617</v>
      </c>
      <c r="C5297" s="89">
        <v>788698</v>
      </c>
      <c r="D5297" s="89" t="s">
        <v>664</v>
      </c>
    </row>
    <row r="5298" spans="1:4" x14ac:dyDescent="0.25">
      <c r="A5298" s="89" t="s">
        <v>72</v>
      </c>
      <c r="B5298" s="89" t="s">
        <v>617</v>
      </c>
      <c r="C5298" s="89">
        <v>492699</v>
      </c>
      <c r="D5298" s="89" t="s">
        <v>666</v>
      </c>
    </row>
    <row r="5299" spans="1:4" x14ac:dyDescent="0.25">
      <c r="A5299" s="89" t="s">
        <v>72</v>
      </c>
      <c r="B5299" s="89" t="s">
        <v>617</v>
      </c>
      <c r="C5299" s="89">
        <v>300833</v>
      </c>
      <c r="D5299" s="89" t="s">
        <v>663</v>
      </c>
    </row>
    <row r="5300" spans="1:4" x14ac:dyDescent="0.25">
      <c r="A5300" s="89" t="s">
        <v>72</v>
      </c>
      <c r="B5300" s="89" t="s">
        <v>617</v>
      </c>
      <c r="C5300" s="89">
        <v>700000</v>
      </c>
      <c r="D5300" s="89" t="s">
        <v>663</v>
      </c>
    </row>
    <row r="5301" spans="1:4" x14ac:dyDescent="0.25">
      <c r="A5301" s="89" t="s">
        <v>72</v>
      </c>
      <c r="B5301" s="89" t="s">
        <v>617</v>
      </c>
      <c r="C5301" s="89">
        <v>470078</v>
      </c>
      <c r="D5301" s="89" t="s">
        <v>666</v>
      </c>
    </row>
    <row r="5302" spans="1:4" x14ac:dyDescent="0.25">
      <c r="A5302" s="89" t="s">
        <v>72</v>
      </c>
      <c r="B5302" s="89" t="s">
        <v>617</v>
      </c>
      <c r="C5302" s="89">
        <v>652294</v>
      </c>
      <c r="D5302" s="89" t="s">
        <v>663</v>
      </c>
    </row>
    <row r="5303" spans="1:4" x14ac:dyDescent="0.25">
      <c r="A5303" s="89" t="s">
        <v>72</v>
      </c>
      <c r="B5303" s="89" t="s">
        <v>617</v>
      </c>
      <c r="C5303" s="89">
        <v>875910</v>
      </c>
      <c r="D5303" s="89" t="s">
        <v>664</v>
      </c>
    </row>
    <row r="5304" spans="1:4" x14ac:dyDescent="0.25">
      <c r="A5304" s="89" t="s">
        <v>72</v>
      </c>
      <c r="B5304" s="89" t="s">
        <v>617</v>
      </c>
      <c r="C5304" s="89">
        <v>154415</v>
      </c>
      <c r="D5304" s="89" t="s">
        <v>663</v>
      </c>
    </row>
    <row r="5305" spans="1:4" x14ac:dyDescent="0.25">
      <c r="A5305" s="89" t="s">
        <v>72</v>
      </c>
      <c r="B5305" s="89" t="s">
        <v>617</v>
      </c>
      <c r="C5305" s="89">
        <v>1719565</v>
      </c>
      <c r="D5305" s="89" t="s">
        <v>663</v>
      </c>
    </row>
    <row r="5306" spans="1:4" x14ac:dyDescent="0.25">
      <c r="A5306" s="89" t="s">
        <v>72</v>
      </c>
      <c r="B5306" s="89" t="s">
        <v>617</v>
      </c>
      <c r="C5306" s="89">
        <v>206702</v>
      </c>
      <c r="D5306" s="89" t="s">
        <v>663</v>
      </c>
    </row>
    <row r="5307" spans="1:4" x14ac:dyDescent="0.25">
      <c r="A5307" s="89" t="s">
        <v>72</v>
      </c>
      <c r="B5307" s="89" t="s">
        <v>617</v>
      </c>
      <c r="C5307" s="89">
        <v>413403</v>
      </c>
      <c r="D5307" s="89" t="s">
        <v>663</v>
      </c>
    </row>
    <row r="5308" spans="1:4" x14ac:dyDescent="0.25">
      <c r="A5308" s="89" t="s">
        <v>72</v>
      </c>
      <c r="B5308" s="89" t="s">
        <v>617</v>
      </c>
      <c r="C5308" s="89">
        <v>275361</v>
      </c>
      <c r="D5308" s="89" t="s">
        <v>663</v>
      </c>
    </row>
    <row r="5309" spans="1:4" x14ac:dyDescent="0.25">
      <c r="A5309" s="89" t="s">
        <v>72</v>
      </c>
      <c r="B5309" s="89" t="s">
        <v>617</v>
      </c>
      <c r="C5309" s="89">
        <v>1088526</v>
      </c>
      <c r="D5309" s="89" t="s">
        <v>663</v>
      </c>
    </row>
    <row r="5310" spans="1:4" x14ac:dyDescent="0.25">
      <c r="A5310" s="89" t="s">
        <v>72</v>
      </c>
      <c r="B5310" s="89" t="s">
        <v>617</v>
      </c>
      <c r="C5310" s="89">
        <v>371631</v>
      </c>
      <c r="D5310" s="89" t="s">
        <v>664</v>
      </c>
    </row>
    <row r="5311" spans="1:4" x14ac:dyDescent="0.25">
      <c r="A5311" s="89" t="s">
        <v>72</v>
      </c>
      <c r="B5311" s="89" t="s">
        <v>617</v>
      </c>
      <c r="C5311" s="89">
        <v>210721.24</v>
      </c>
      <c r="D5311" s="89" t="s">
        <v>666</v>
      </c>
    </row>
    <row r="5312" spans="1:4" x14ac:dyDescent="0.25">
      <c r="A5312" s="89" t="s">
        <v>72</v>
      </c>
      <c r="B5312" s="89" t="s">
        <v>617</v>
      </c>
      <c r="C5312" s="89">
        <v>460935</v>
      </c>
      <c r="D5312" s="89" t="s">
        <v>664</v>
      </c>
    </row>
    <row r="5313" spans="1:4" x14ac:dyDescent="0.25">
      <c r="A5313" s="89" t="s">
        <v>72</v>
      </c>
      <c r="B5313" s="89" t="s">
        <v>617</v>
      </c>
      <c r="C5313" s="89">
        <v>1797327</v>
      </c>
      <c r="D5313" s="89" t="s">
        <v>663</v>
      </c>
    </row>
    <row r="5314" spans="1:4" x14ac:dyDescent="0.25">
      <c r="A5314" s="89" t="s">
        <v>72</v>
      </c>
      <c r="B5314" s="89" t="s">
        <v>617</v>
      </c>
      <c r="C5314" s="89">
        <v>2033458</v>
      </c>
      <c r="D5314" s="89" t="s">
        <v>666</v>
      </c>
    </row>
    <row r="5315" spans="1:4" x14ac:dyDescent="0.25">
      <c r="A5315" s="89" t="s">
        <v>72</v>
      </c>
      <c r="B5315" s="89" t="s">
        <v>617</v>
      </c>
      <c r="C5315" s="89">
        <v>376555</v>
      </c>
      <c r="D5315" s="89" t="s">
        <v>664</v>
      </c>
    </row>
    <row r="5316" spans="1:4" x14ac:dyDescent="0.25">
      <c r="A5316" s="89" t="s">
        <v>72</v>
      </c>
      <c r="B5316" s="89" t="s">
        <v>617</v>
      </c>
      <c r="C5316" s="89">
        <v>809329</v>
      </c>
      <c r="D5316" s="89" t="s">
        <v>663</v>
      </c>
    </row>
    <row r="5317" spans="1:4" x14ac:dyDescent="0.25">
      <c r="A5317" s="89" t="s">
        <v>72</v>
      </c>
      <c r="B5317" s="89" t="s">
        <v>617</v>
      </c>
      <c r="C5317" s="89">
        <v>2653361</v>
      </c>
      <c r="D5317" s="89" t="s">
        <v>666</v>
      </c>
    </row>
    <row r="5318" spans="1:4" x14ac:dyDescent="0.25">
      <c r="A5318" s="89" t="s">
        <v>72</v>
      </c>
      <c r="B5318" s="89" t="s">
        <v>617</v>
      </c>
      <c r="C5318" s="89">
        <v>613690</v>
      </c>
      <c r="D5318" s="89" t="s">
        <v>664</v>
      </c>
    </row>
    <row r="5319" spans="1:4" x14ac:dyDescent="0.25">
      <c r="A5319" s="89" t="s">
        <v>72</v>
      </c>
      <c r="B5319" s="89" t="s">
        <v>617</v>
      </c>
      <c r="C5319" s="89">
        <v>403866</v>
      </c>
      <c r="D5319" s="89" t="s">
        <v>666</v>
      </c>
    </row>
    <row r="5320" spans="1:4" x14ac:dyDescent="0.25">
      <c r="A5320" s="89" t="s">
        <v>72</v>
      </c>
      <c r="B5320" s="89" t="s">
        <v>617</v>
      </c>
      <c r="C5320" s="89">
        <v>1840528</v>
      </c>
      <c r="D5320" s="89" t="s">
        <v>666</v>
      </c>
    </row>
    <row r="5321" spans="1:4" x14ac:dyDescent="0.25">
      <c r="A5321" s="89" t="s">
        <v>72</v>
      </c>
      <c r="B5321" s="89" t="s">
        <v>617</v>
      </c>
      <c r="C5321" s="89">
        <v>683462</v>
      </c>
      <c r="D5321" s="89" t="s">
        <v>663</v>
      </c>
    </row>
    <row r="5322" spans="1:4" x14ac:dyDescent="0.25">
      <c r="A5322" s="89" t="s">
        <v>72</v>
      </c>
      <c r="B5322" s="89" t="s">
        <v>617</v>
      </c>
      <c r="C5322" s="89">
        <v>9533312</v>
      </c>
      <c r="D5322" s="89" t="s">
        <v>666</v>
      </c>
    </row>
    <row r="5323" spans="1:4" x14ac:dyDescent="0.25">
      <c r="A5323" s="89" t="s">
        <v>72</v>
      </c>
      <c r="B5323" s="89" t="s">
        <v>617</v>
      </c>
      <c r="C5323" s="89">
        <v>9291100</v>
      </c>
      <c r="D5323" s="89" t="s">
        <v>663</v>
      </c>
    </row>
    <row r="5324" spans="1:4" x14ac:dyDescent="0.25">
      <c r="A5324" s="89" t="s">
        <v>72</v>
      </c>
      <c r="B5324" s="89" t="s">
        <v>617</v>
      </c>
      <c r="C5324" s="89">
        <v>629539.30000000005</v>
      </c>
      <c r="D5324" s="89" t="s">
        <v>666</v>
      </c>
    </row>
    <row r="5325" spans="1:4" x14ac:dyDescent="0.25">
      <c r="A5325" s="89" t="s">
        <v>72</v>
      </c>
      <c r="B5325" s="89" t="s">
        <v>617</v>
      </c>
      <c r="C5325" s="89">
        <v>1819593.71</v>
      </c>
      <c r="D5325" s="89" t="s">
        <v>664</v>
      </c>
    </row>
    <row r="5326" spans="1:4" x14ac:dyDescent="0.25">
      <c r="A5326" s="89" t="s">
        <v>72</v>
      </c>
      <c r="B5326" s="89" t="s">
        <v>617</v>
      </c>
      <c r="C5326" s="89">
        <v>831118</v>
      </c>
      <c r="D5326" s="89" t="s">
        <v>666</v>
      </c>
    </row>
    <row r="5327" spans="1:4" x14ac:dyDescent="0.25">
      <c r="A5327" s="89" t="s">
        <v>72</v>
      </c>
      <c r="B5327" s="89" t="s">
        <v>617</v>
      </c>
      <c r="C5327" s="89">
        <v>3824499</v>
      </c>
      <c r="D5327" s="89" t="s">
        <v>666</v>
      </c>
    </row>
    <row r="5328" spans="1:4" x14ac:dyDescent="0.25">
      <c r="A5328" s="89" t="s">
        <v>72</v>
      </c>
      <c r="B5328" s="89" t="s">
        <v>617</v>
      </c>
      <c r="C5328" s="89">
        <v>2012329.24</v>
      </c>
      <c r="D5328" s="89" t="s">
        <v>664</v>
      </c>
    </row>
    <row r="5329" spans="1:4" x14ac:dyDescent="0.25">
      <c r="A5329" s="89" t="s">
        <v>72</v>
      </c>
      <c r="B5329" s="89" t="s">
        <v>617</v>
      </c>
      <c r="C5329" s="89">
        <v>4429234</v>
      </c>
      <c r="D5329" s="89" t="s">
        <v>663</v>
      </c>
    </row>
    <row r="5330" spans="1:4" x14ac:dyDescent="0.25">
      <c r="A5330" s="89" t="s">
        <v>669</v>
      </c>
      <c r="B5330" s="89" t="s">
        <v>617</v>
      </c>
      <c r="C5330" s="89">
        <v>18575572</v>
      </c>
      <c r="D5330" s="89" t="s">
        <v>664</v>
      </c>
    </row>
    <row r="5331" spans="1:4" x14ac:dyDescent="0.25">
      <c r="A5331" s="89" t="s">
        <v>669</v>
      </c>
      <c r="B5331" s="89" t="s">
        <v>617</v>
      </c>
      <c r="C5331" s="89">
        <v>34036797</v>
      </c>
      <c r="D5331" s="89" t="s">
        <v>663</v>
      </c>
    </row>
    <row r="5332" spans="1:4" x14ac:dyDescent="0.25">
      <c r="A5332" s="89" t="s">
        <v>669</v>
      </c>
      <c r="B5332" s="89" t="s">
        <v>617</v>
      </c>
      <c r="C5332" s="89">
        <v>5771826.7199999997</v>
      </c>
      <c r="D5332" s="89" t="s">
        <v>663</v>
      </c>
    </row>
    <row r="5333" spans="1:4" x14ac:dyDescent="0.25">
      <c r="A5333" s="89" t="s">
        <v>669</v>
      </c>
      <c r="B5333" s="89" t="s">
        <v>617</v>
      </c>
      <c r="C5333" s="89">
        <v>10757342</v>
      </c>
      <c r="D5333" s="89" t="s">
        <v>670</v>
      </c>
    </row>
    <row r="5334" spans="1:4" x14ac:dyDescent="0.25">
      <c r="A5334" s="89" t="s">
        <v>669</v>
      </c>
      <c r="B5334" s="89" t="s">
        <v>617</v>
      </c>
      <c r="C5334" s="89">
        <v>1166499</v>
      </c>
      <c r="D5334" s="89" t="s">
        <v>663</v>
      </c>
    </row>
    <row r="5335" spans="1:4" x14ac:dyDescent="0.25">
      <c r="A5335" s="89" t="s">
        <v>669</v>
      </c>
      <c r="B5335" s="89" t="s">
        <v>617</v>
      </c>
      <c r="C5335" s="89">
        <v>5276665</v>
      </c>
      <c r="D5335" s="89" t="s">
        <v>663</v>
      </c>
    </row>
    <row r="5336" spans="1:4" x14ac:dyDescent="0.25">
      <c r="A5336" s="89" t="s">
        <v>669</v>
      </c>
      <c r="B5336" s="89" t="s">
        <v>617</v>
      </c>
      <c r="C5336" s="89">
        <v>7104535</v>
      </c>
      <c r="D5336" s="89" t="s">
        <v>670</v>
      </c>
    </row>
    <row r="5337" spans="1:4" x14ac:dyDescent="0.25">
      <c r="A5337" s="89" t="s">
        <v>669</v>
      </c>
      <c r="B5337" s="89" t="s">
        <v>617</v>
      </c>
      <c r="C5337" s="89">
        <v>2406507</v>
      </c>
      <c r="D5337" s="89" t="s">
        <v>664</v>
      </c>
    </row>
    <row r="5338" spans="1:4" x14ac:dyDescent="0.25">
      <c r="A5338" s="89" t="s">
        <v>669</v>
      </c>
      <c r="B5338" s="89" t="s">
        <v>617</v>
      </c>
      <c r="C5338" s="89">
        <v>2115620</v>
      </c>
      <c r="D5338" s="89" t="s">
        <v>663</v>
      </c>
    </row>
    <row r="5339" spans="1:4" x14ac:dyDescent="0.25">
      <c r="A5339" s="89" t="s">
        <v>669</v>
      </c>
      <c r="B5339" s="89" t="s">
        <v>617</v>
      </c>
      <c r="C5339" s="89">
        <v>950206</v>
      </c>
      <c r="D5339" s="89" t="s">
        <v>663</v>
      </c>
    </row>
    <row r="5340" spans="1:4" x14ac:dyDescent="0.25">
      <c r="A5340" s="89" t="s">
        <v>669</v>
      </c>
      <c r="B5340" s="89" t="s">
        <v>617</v>
      </c>
      <c r="C5340" s="89">
        <v>3226761</v>
      </c>
      <c r="D5340" s="89" t="s">
        <v>664</v>
      </c>
    </row>
    <row r="5341" spans="1:4" x14ac:dyDescent="0.25">
      <c r="A5341" s="89" t="s">
        <v>669</v>
      </c>
      <c r="B5341" s="89" t="s">
        <v>617</v>
      </c>
      <c r="C5341" s="89">
        <v>3841358</v>
      </c>
      <c r="D5341" s="89" t="s">
        <v>663</v>
      </c>
    </row>
    <row r="5342" spans="1:4" x14ac:dyDescent="0.25">
      <c r="A5342" s="89" t="s">
        <v>669</v>
      </c>
      <c r="B5342" s="89" t="s">
        <v>617</v>
      </c>
      <c r="C5342" s="89">
        <v>4426694</v>
      </c>
      <c r="D5342" s="89" t="s">
        <v>664</v>
      </c>
    </row>
    <row r="5343" spans="1:4" x14ac:dyDescent="0.25">
      <c r="A5343" s="89" t="s">
        <v>669</v>
      </c>
      <c r="B5343" s="89" t="s">
        <v>617</v>
      </c>
      <c r="C5343" s="89">
        <v>2570173</v>
      </c>
      <c r="D5343" s="89" t="s">
        <v>670</v>
      </c>
    </row>
    <row r="5344" spans="1:4" x14ac:dyDescent="0.25">
      <c r="A5344" s="89" t="s">
        <v>669</v>
      </c>
      <c r="B5344" s="89" t="s">
        <v>617</v>
      </c>
      <c r="C5344" s="89">
        <v>2847000</v>
      </c>
      <c r="D5344" s="89" t="s">
        <v>663</v>
      </c>
    </row>
    <row r="5345" spans="1:4" x14ac:dyDescent="0.25">
      <c r="A5345" s="89" t="s">
        <v>669</v>
      </c>
      <c r="B5345" s="89" t="s">
        <v>617</v>
      </c>
      <c r="C5345" s="89">
        <v>7384720</v>
      </c>
      <c r="D5345" s="89" t="s">
        <v>663</v>
      </c>
    </row>
    <row r="5346" spans="1:4" x14ac:dyDescent="0.25">
      <c r="A5346" s="89" t="s">
        <v>669</v>
      </c>
      <c r="B5346" s="89" t="s">
        <v>617</v>
      </c>
      <c r="C5346" s="89">
        <v>17734887</v>
      </c>
      <c r="D5346" s="89" t="s">
        <v>664</v>
      </c>
    </row>
    <row r="5347" spans="1:4" x14ac:dyDescent="0.25">
      <c r="A5347" s="89" t="s">
        <v>669</v>
      </c>
      <c r="B5347" s="89" t="s">
        <v>617</v>
      </c>
      <c r="C5347" s="89">
        <v>4645736</v>
      </c>
      <c r="D5347" s="89" t="s">
        <v>663</v>
      </c>
    </row>
    <row r="5348" spans="1:4" x14ac:dyDescent="0.25">
      <c r="A5348" s="89" t="s">
        <v>669</v>
      </c>
      <c r="B5348" s="89" t="s">
        <v>617</v>
      </c>
      <c r="C5348" s="89">
        <v>15378487</v>
      </c>
      <c r="D5348" s="89" t="s">
        <v>663</v>
      </c>
    </row>
    <row r="5349" spans="1:4" x14ac:dyDescent="0.25">
      <c r="A5349" s="89" t="s">
        <v>669</v>
      </c>
      <c r="B5349" s="89" t="s">
        <v>617</v>
      </c>
      <c r="C5349" s="89">
        <v>5008687.2300000004</v>
      </c>
      <c r="D5349" s="89" t="s">
        <v>664</v>
      </c>
    </row>
    <row r="5350" spans="1:4" x14ac:dyDescent="0.25">
      <c r="A5350" s="89" t="s">
        <v>669</v>
      </c>
      <c r="B5350" s="89" t="s">
        <v>617</v>
      </c>
      <c r="C5350" s="89">
        <v>3383170.05</v>
      </c>
      <c r="D5350" s="89" t="s">
        <v>663</v>
      </c>
    </row>
    <row r="5351" spans="1:4" x14ac:dyDescent="0.25">
      <c r="A5351" s="89" t="s">
        <v>669</v>
      </c>
      <c r="B5351" s="89" t="s">
        <v>617</v>
      </c>
      <c r="C5351" s="89">
        <v>618143.04</v>
      </c>
      <c r="D5351" s="89" t="s">
        <v>663</v>
      </c>
    </row>
    <row r="5352" spans="1:4" x14ac:dyDescent="0.25">
      <c r="A5352" s="89" t="s">
        <v>669</v>
      </c>
      <c r="B5352" s="89" t="s">
        <v>617</v>
      </c>
      <c r="C5352" s="89">
        <v>1143466</v>
      </c>
      <c r="D5352" s="89" t="s">
        <v>663</v>
      </c>
    </row>
    <row r="5353" spans="1:4" x14ac:dyDescent="0.25">
      <c r="A5353" s="89" t="s">
        <v>669</v>
      </c>
      <c r="B5353" s="89" t="s">
        <v>617</v>
      </c>
      <c r="C5353" s="89">
        <v>31467017.879999999</v>
      </c>
      <c r="D5353" s="89" t="s">
        <v>664</v>
      </c>
    </row>
    <row r="5354" spans="1:4" x14ac:dyDescent="0.25">
      <c r="A5354" s="89" t="s">
        <v>669</v>
      </c>
      <c r="B5354" s="89" t="s">
        <v>617</v>
      </c>
      <c r="C5354" s="89">
        <v>6219449</v>
      </c>
      <c r="D5354" s="89" t="s">
        <v>663</v>
      </c>
    </row>
    <row r="5355" spans="1:4" x14ac:dyDescent="0.25">
      <c r="A5355" s="89" t="s">
        <v>669</v>
      </c>
      <c r="B5355" s="89" t="s">
        <v>617</v>
      </c>
      <c r="C5355" s="89">
        <v>4100000</v>
      </c>
      <c r="D5355" s="89" t="s">
        <v>663</v>
      </c>
    </row>
    <row r="5356" spans="1:4" x14ac:dyDescent="0.25">
      <c r="A5356" s="89" t="s">
        <v>669</v>
      </c>
      <c r="B5356" s="89" t="s">
        <v>617</v>
      </c>
      <c r="C5356" s="89">
        <v>8160501</v>
      </c>
      <c r="D5356" s="89" t="s">
        <v>663</v>
      </c>
    </row>
    <row r="5357" spans="1:4" x14ac:dyDescent="0.25">
      <c r="A5357" s="89" t="s">
        <v>669</v>
      </c>
      <c r="B5357" s="89" t="s">
        <v>617</v>
      </c>
      <c r="C5357" s="89">
        <v>5161417</v>
      </c>
      <c r="D5357" s="89" t="s">
        <v>664</v>
      </c>
    </row>
    <row r="5358" spans="1:4" x14ac:dyDescent="0.25">
      <c r="A5358" s="89" t="s">
        <v>669</v>
      </c>
      <c r="B5358" s="89" t="s">
        <v>617</v>
      </c>
      <c r="C5358" s="89">
        <v>20884977</v>
      </c>
      <c r="D5358" s="89" t="s">
        <v>664</v>
      </c>
    </row>
    <row r="5359" spans="1:4" x14ac:dyDescent="0.25">
      <c r="A5359" s="89" t="s">
        <v>669</v>
      </c>
      <c r="B5359" s="89" t="s">
        <v>617</v>
      </c>
      <c r="C5359" s="89">
        <v>59537943</v>
      </c>
      <c r="D5359" s="89" t="s">
        <v>663</v>
      </c>
    </row>
    <row r="5360" spans="1:4" x14ac:dyDescent="0.25">
      <c r="A5360" s="89" t="s">
        <v>669</v>
      </c>
      <c r="B5360" s="89" t="s">
        <v>617</v>
      </c>
      <c r="C5360" s="89">
        <v>29878377.219999999</v>
      </c>
      <c r="D5360" s="89" t="s">
        <v>664</v>
      </c>
    </row>
    <row r="5361" spans="1:4" x14ac:dyDescent="0.25">
      <c r="A5361" s="89" t="s">
        <v>669</v>
      </c>
      <c r="B5361" s="89" t="s">
        <v>617</v>
      </c>
      <c r="C5361" s="89">
        <v>646048.97</v>
      </c>
      <c r="D5361" s="89" t="s">
        <v>664</v>
      </c>
    </row>
    <row r="5362" spans="1:4" x14ac:dyDescent="0.25">
      <c r="A5362" s="89" t="s">
        <v>669</v>
      </c>
      <c r="B5362" s="89" t="s">
        <v>617</v>
      </c>
      <c r="C5362" s="89">
        <v>7699656</v>
      </c>
      <c r="D5362" s="89" t="s">
        <v>666</v>
      </c>
    </row>
    <row r="5363" spans="1:4" x14ac:dyDescent="0.25">
      <c r="A5363" s="89" t="s">
        <v>669</v>
      </c>
      <c r="B5363" s="89" t="s">
        <v>617</v>
      </c>
      <c r="C5363" s="89">
        <v>972500</v>
      </c>
      <c r="D5363" s="89" t="s">
        <v>664</v>
      </c>
    </row>
    <row r="5364" spans="1:4" x14ac:dyDescent="0.25">
      <c r="A5364" s="89" t="s">
        <v>669</v>
      </c>
      <c r="B5364" s="89" t="s">
        <v>617</v>
      </c>
      <c r="C5364" s="89">
        <v>13439250</v>
      </c>
      <c r="D5364" s="89" t="s">
        <v>663</v>
      </c>
    </row>
    <row r="5365" spans="1:4" x14ac:dyDescent="0.25">
      <c r="A5365" s="89" t="s">
        <v>669</v>
      </c>
      <c r="B5365" s="89" t="s">
        <v>617</v>
      </c>
      <c r="C5365" s="89">
        <v>11952526</v>
      </c>
      <c r="D5365" s="89" t="s">
        <v>670</v>
      </c>
    </row>
    <row r="5366" spans="1:4" x14ac:dyDescent="0.25">
      <c r="A5366" s="89" t="s">
        <v>669</v>
      </c>
      <c r="B5366" s="89" t="s">
        <v>617</v>
      </c>
      <c r="C5366" s="89">
        <v>25188306</v>
      </c>
      <c r="D5366" s="89" t="s">
        <v>663</v>
      </c>
    </row>
    <row r="5367" spans="1:4" x14ac:dyDescent="0.25">
      <c r="A5367" s="89" t="s">
        <v>669</v>
      </c>
      <c r="B5367" s="89" t="s">
        <v>617</v>
      </c>
      <c r="C5367" s="89">
        <v>22082901</v>
      </c>
      <c r="D5367" s="89" t="s">
        <v>664</v>
      </c>
    </row>
    <row r="5368" spans="1:4" x14ac:dyDescent="0.25">
      <c r="A5368" s="89" t="s">
        <v>669</v>
      </c>
      <c r="B5368" s="89" t="s">
        <v>617</v>
      </c>
      <c r="C5368" s="89">
        <v>1800000</v>
      </c>
      <c r="D5368" s="89" t="s">
        <v>663</v>
      </c>
    </row>
    <row r="5369" spans="1:4" x14ac:dyDescent="0.25">
      <c r="A5369" s="89" t="s">
        <v>669</v>
      </c>
      <c r="B5369" s="89" t="s">
        <v>617</v>
      </c>
      <c r="C5369" s="89">
        <v>256811</v>
      </c>
      <c r="D5369" s="89" t="s">
        <v>663</v>
      </c>
    </row>
    <row r="5370" spans="1:4" x14ac:dyDescent="0.25">
      <c r="A5370" s="89" t="s">
        <v>669</v>
      </c>
      <c r="B5370" s="89" t="s">
        <v>617</v>
      </c>
      <c r="C5370" s="89">
        <v>13153352</v>
      </c>
      <c r="D5370" s="89" t="s">
        <v>663</v>
      </c>
    </row>
    <row r="5371" spans="1:4" x14ac:dyDescent="0.25">
      <c r="A5371" s="89" t="s">
        <v>669</v>
      </c>
      <c r="B5371" s="89" t="s">
        <v>617</v>
      </c>
      <c r="C5371" s="89">
        <v>3424878</v>
      </c>
      <c r="D5371" s="89" t="s">
        <v>664</v>
      </c>
    </row>
    <row r="5372" spans="1:4" x14ac:dyDescent="0.25">
      <c r="A5372" s="89" t="s">
        <v>669</v>
      </c>
      <c r="B5372" s="89" t="s">
        <v>617</v>
      </c>
      <c r="C5372" s="89">
        <v>2667866</v>
      </c>
      <c r="D5372" s="89" t="s">
        <v>664</v>
      </c>
    </row>
    <row r="5373" spans="1:4" x14ac:dyDescent="0.25">
      <c r="A5373" s="89" t="s">
        <v>669</v>
      </c>
      <c r="B5373" s="89" t="s">
        <v>617</v>
      </c>
      <c r="C5373" s="89">
        <v>489478</v>
      </c>
      <c r="D5373" s="89" t="s">
        <v>664</v>
      </c>
    </row>
    <row r="5374" spans="1:4" x14ac:dyDescent="0.25">
      <c r="A5374" s="89" t="s">
        <v>669</v>
      </c>
      <c r="B5374" s="89" t="s">
        <v>617</v>
      </c>
      <c r="C5374" s="89">
        <v>14106902</v>
      </c>
      <c r="D5374" s="89" t="s">
        <v>670</v>
      </c>
    </row>
    <row r="5375" spans="1:4" x14ac:dyDescent="0.25">
      <c r="A5375" s="89" t="s">
        <v>669</v>
      </c>
      <c r="B5375" s="89" t="s">
        <v>617</v>
      </c>
      <c r="C5375" s="89">
        <v>20259538</v>
      </c>
      <c r="D5375" s="89" t="s">
        <v>670</v>
      </c>
    </row>
    <row r="5376" spans="1:4" x14ac:dyDescent="0.25">
      <c r="A5376" s="89" t="s">
        <v>669</v>
      </c>
      <c r="B5376" s="89" t="s">
        <v>617</v>
      </c>
      <c r="C5376" s="89">
        <v>7473499.9500000002</v>
      </c>
      <c r="D5376" s="89" t="s">
        <v>666</v>
      </c>
    </row>
    <row r="5377" spans="1:4" x14ac:dyDescent="0.25">
      <c r="A5377" s="89" t="s">
        <v>669</v>
      </c>
      <c r="B5377" s="89" t="s">
        <v>617</v>
      </c>
      <c r="C5377" s="89">
        <v>5600023</v>
      </c>
      <c r="D5377" s="89" t="s">
        <v>663</v>
      </c>
    </row>
    <row r="5378" spans="1:4" x14ac:dyDescent="0.25">
      <c r="A5378" s="89" t="s">
        <v>669</v>
      </c>
      <c r="B5378" s="89" t="s">
        <v>617</v>
      </c>
      <c r="C5378" s="89">
        <v>3000000</v>
      </c>
      <c r="D5378" s="89" t="s">
        <v>663</v>
      </c>
    </row>
    <row r="5379" spans="1:4" x14ac:dyDescent="0.25">
      <c r="A5379" s="89" t="s">
        <v>669</v>
      </c>
      <c r="B5379" s="89" t="s">
        <v>617</v>
      </c>
      <c r="C5379" s="89">
        <v>587245</v>
      </c>
      <c r="D5379" s="89" t="s">
        <v>664</v>
      </c>
    </row>
    <row r="5380" spans="1:4" x14ac:dyDescent="0.25">
      <c r="A5380" s="89" t="s">
        <v>669</v>
      </c>
      <c r="B5380" s="89" t="s">
        <v>617</v>
      </c>
      <c r="C5380" s="89">
        <v>54865975</v>
      </c>
      <c r="D5380" s="89" t="s">
        <v>663</v>
      </c>
    </row>
    <row r="5381" spans="1:4" x14ac:dyDescent="0.25">
      <c r="A5381" s="89" t="s">
        <v>669</v>
      </c>
      <c r="B5381" s="89" t="s">
        <v>617</v>
      </c>
      <c r="C5381" s="89">
        <v>17891328</v>
      </c>
      <c r="D5381" s="89" t="s">
        <v>664</v>
      </c>
    </row>
    <row r="5382" spans="1:4" x14ac:dyDescent="0.25">
      <c r="A5382" s="89" t="s">
        <v>669</v>
      </c>
      <c r="B5382" s="89" t="s">
        <v>617</v>
      </c>
      <c r="C5382" s="89">
        <v>28409278</v>
      </c>
      <c r="D5382" s="89" t="s">
        <v>663</v>
      </c>
    </row>
    <row r="5383" spans="1:4" x14ac:dyDescent="0.25">
      <c r="A5383" s="89" t="s">
        <v>669</v>
      </c>
      <c r="B5383" s="89" t="s">
        <v>617</v>
      </c>
      <c r="C5383" s="89">
        <v>379178</v>
      </c>
      <c r="D5383" s="89" t="s">
        <v>663</v>
      </c>
    </row>
    <row r="5384" spans="1:4" x14ac:dyDescent="0.25">
      <c r="A5384" s="89" t="s">
        <v>669</v>
      </c>
      <c r="B5384" s="89" t="s">
        <v>617</v>
      </c>
      <c r="C5384" s="89">
        <v>1781739</v>
      </c>
      <c r="D5384" s="89" t="s">
        <v>664</v>
      </c>
    </row>
    <row r="5385" spans="1:4" x14ac:dyDescent="0.25">
      <c r="A5385" s="89" t="s">
        <v>669</v>
      </c>
      <c r="B5385" s="89" t="s">
        <v>617</v>
      </c>
      <c r="C5385" s="89">
        <v>1463101</v>
      </c>
      <c r="D5385" s="89" t="s">
        <v>664</v>
      </c>
    </row>
    <row r="5386" spans="1:4" x14ac:dyDescent="0.25">
      <c r="A5386" s="89" t="s">
        <v>669</v>
      </c>
      <c r="B5386" s="89" t="s">
        <v>617</v>
      </c>
      <c r="C5386" s="89">
        <v>42797909</v>
      </c>
      <c r="D5386" s="89" t="s">
        <v>664</v>
      </c>
    </row>
    <row r="5387" spans="1:4" x14ac:dyDescent="0.25">
      <c r="A5387" s="89" t="s">
        <v>669</v>
      </c>
      <c r="B5387" s="89" t="s">
        <v>617</v>
      </c>
      <c r="C5387" s="89">
        <v>6146364</v>
      </c>
      <c r="D5387" s="89" t="s">
        <v>664</v>
      </c>
    </row>
    <row r="5388" spans="1:4" x14ac:dyDescent="0.25">
      <c r="A5388" s="89" t="s">
        <v>669</v>
      </c>
      <c r="B5388" s="89" t="s">
        <v>617</v>
      </c>
      <c r="C5388" s="89">
        <v>-5000</v>
      </c>
      <c r="D5388" s="89" t="s">
        <v>664</v>
      </c>
    </row>
    <row r="5389" spans="1:4" x14ac:dyDescent="0.25">
      <c r="A5389" s="89" t="s">
        <v>669</v>
      </c>
      <c r="B5389" s="89" t="s">
        <v>617</v>
      </c>
      <c r="C5389" s="89">
        <v>17701499</v>
      </c>
      <c r="D5389" s="89" t="s">
        <v>664</v>
      </c>
    </row>
    <row r="5390" spans="1:4" x14ac:dyDescent="0.25">
      <c r="A5390" s="89" t="s">
        <v>669</v>
      </c>
      <c r="B5390" s="89" t="s">
        <v>617</v>
      </c>
      <c r="C5390" s="89">
        <v>386080</v>
      </c>
      <c r="D5390" s="89" t="s">
        <v>663</v>
      </c>
    </row>
    <row r="5391" spans="1:4" x14ac:dyDescent="0.25">
      <c r="A5391" s="89" t="s">
        <v>669</v>
      </c>
      <c r="B5391" s="89" t="s">
        <v>617</v>
      </c>
      <c r="C5391" s="89">
        <v>41919320</v>
      </c>
      <c r="D5391" s="89" t="s">
        <v>663</v>
      </c>
    </row>
    <row r="5392" spans="1:4" x14ac:dyDescent="0.25">
      <c r="A5392" s="89" t="s">
        <v>669</v>
      </c>
      <c r="B5392" s="89" t="s">
        <v>617</v>
      </c>
      <c r="C5392" s="89">
        <v>15665514</v>
      </c>
      <c r="D5392" s="89" t="s">
        <v>664</v>
      </c>
    </row>
    <row r="5393" spans="1:4" x14ac:dyDescent="0.25">
      <c r="A5393" s="89" t="s">
        <v>669</v>
      </c>
      <c r="B5393" s="89" t="s">
        <v>617</v>
      </c>
      <c r="C5393" s="89">
        <v>15581604</v>
      </c>
      <c r="D5393" s="89" t="s">
        <v>665</v>
      </c>
    </row>
    <row r="5394" spans="1:4" x14ac:dyDescent="0.25">
      <c r="A5394" s="89" t="s">
        <v>18</v>
      </c>
      <c r="B5394" s="89" t="s">
        <v>615</v>
      </c>
      <c r="C5394" s="89">
        <v>1363028</v>
      </c>
      <c r="D5394" s="89" t="s">
        <v>663</v>
      </c>
    </row>
    <row r="5395" spans="1:4" x14ac:dyDescent="0.25">
      <c r="A5395" s="89" t="s">
        <v>18</v>
      </c>
      <c r="B5395" s="89" t="s">
        <v>615</v>
      </c>
      <c r="C5395" s="89">
        <v>1579805</v>
      </c>
      <c r="D5395" s="89" t="s">
        <v>666</v>
      </c>
    </row>
    <row r="5396" spans="1:4" x14ac:dyDescent="0.25">
      <c r="A5396" s="89" t="s">
        <v>18</v>
      </c>
      <c r="B5396" s="89" t="s">
        <v>615</v>
      </c>
      <c r="C5396" s="89">
        <v>6540883</v>
      </c>
      <c r="D5396" s="89" t="s">
        <v>663</v>
      </c>
    </row>
    <row r="5397" spans="1:4" x14ac:dyDescent="0.25">
      <c r="A5397" s="89" t="s">
        <v>18</v>
      </c>
      <c r="B5397" s="89" t="s">
        <v>615</v>
      </c>
      <c r="C5397" s="89">
        <v>125000</v>
      </c>
      <c r="D5397" s="89" t="s">
        <v>663</v>
      </c>
    </row>
    <row r="5398" spans="1:4" x14ac:dyDescent="0.25">
      <c r="A5398" s="89" t="s">
        <v>18</v>
      </c>
      <c r="B5398" s="89" t="s">
        <v>615</v>
      </c>
      <c r="C5398" s="89">
        <v>1998089</v>
      </c>
      <c r="D5398" s="89" t="s">
        <v>663</v>
      </c>
    </row>
    <row r="5399" spans="1:4" x14ac:dyDescent="0.25">
      <c r="A5399" s="89" t="s">
        <v>18</v>
      </c>
      <c r="B5399" s="89" t="s">
        <v>615</v>
      </c>
      <c r="C5399" s="89">
        <v>790597</v>
      </c>
      <c r="D5399" s="89" t="s">
        <v>666</v>
      </c>
    </row>
    <row r="5400" spans="1:4" x14ac:dyDescent="0.25">
      <c r="A5400" s="89" t="s">
        <v>18</v>
      </c>
      <c r="B5400" s="89" t="s">
        <v>615</v>
      </c>
      <c r="C5400" s="89">
        <v>163834</v>
      </c>
      <c r="D5400" s="89" t="s">
        <v>663</v>
      </c>
    </row>
    <row r="5401" spans="1:4" x14ac:dyDescent="0.25">
      <c r="A5401" s="89" t="s">
        <v>18</v>
      </c>
      <c r="B5401" s="89" t="s">
        <v>615</v>
      </c>
      <c r="C5401" s="89">
        <v>234008</v>
      </c>
      <c r="D5401" s="89" t="s">
        <v>663</v>
      </c>
    </row>
    <row r="5402" spans="1:4" x14ac:dyDescent="0.25">
      <c r="A5402" s="89" t="s">
        <v>18</v>
      </c>
      <c r="B5402" s="89" t="s">
        <v>615</v>
      </c>
      <c r="C5402" s="89">
        <v>956664.18</v>
      </c>
      <c r="D5402" s="89" t="s">
        <v>663</v>
      </c>
    </row>
    <row r="5403" spans="1:4" x14ac:dyDescent="0.25">
      <c r="A5403" s="89" t="s">
        <v>18</v>
      </c>
      <c r="B5403" s="89" t="s">
        <v>615</v>
      </c>
      <c r="C5403" s="89">
        <v>200000</v>
      </c>
      <c r="D5403" s="89" t="s">
        <v>664</v>
      </c>
    </row>
    <row r="5404" spans="1:4" x14ac:dyDescent="0.25">
      <c r="A5404" s="89" t="s">
        <v>18</v>
      </c>
      <c r="B5404" s="89" t="s">
        <v>615</v>
      </c>
      <c r="C5404" s="89">
        <v>500000</v>
      </c>
      <c r="D5404" s="89" t="s">
        <v>663</v>
      </c>
    </row>
    <row r="5405" spans="1:4" x14ac:dyDescent="0.25">
      <c r="A5405" s="89" t="s">
        <v>18</v>
      </c>
      <c r="B5405" s="89" t="s">
        <v>615</v>
      </c>
      <c r="C5405" s="89">
        <v>466641.4</v>
      </c>
      <c r="D5405" s="89" t="s">
        <v>663</v>
      </c>
    </row>
    <row r="5406" spans="1:4" x14ac:dyDescent="0.25">
      <c r="A5406" s="89" t="s">
        <v>18</v>
      </c>
      <c r="B5406" s="89" t="s">
        <v>615</v>
      </c>
      <c r="C5406" s="89">
        <v>973398</v>
      </c>
      <c r="D5406" s="89" t="s">
        <v>663</v>
      </c>
    </row>
    <row r="5407" spans="1:4" x14ac:dyDescent="0.25">
      <c r="A5407" s="89" t="s">
        <v>18</v>
      </c>
      <c r="B5407" s="89" t="s">
        <v>615</v>
      </c>
      <c r="C5407" s="89">
        <v>12088427</v>
      </c>
      <c r="D5407" s="89" t="s">
        <v>663</v>
      </c>
    </row>
    <row r="5408" spans="1:4" x14ac:dyDescent="0.25">
      <c r="A5408" s="89" t="s">
        <v>18</v>
      </c>
      <c r="B5408" s="89" t="s">
        <v>615</v>
      </c>
      <c r="C5408" s="89">
        <v>1324304</v>
      </c>
      <c r="D5408" s="89" t="s">
        <v>666</v>
      </c>
    </row>
    <row r="5409" spans="1:4" x14ac:dyDescent="0.25">
      <c r="A5409" s="89" t="s">
        <v>18</v>
      </c>
      <c r="B5409" s="89" t="s">
        <v>615</v>
      </c>
      <c r="C5409" s="89">
        <v>2554566</v>
      </c>
      <c r="D5409" s="89" t="s">
        <v>663</v>
      </c>
    </row>
    <row r="5410" spans="1:4" x14ac:dyDescent="0.25">
      <c r="A5410" s="89" t="s">
        <v>18</v>
      </c>
      <c r="B5410" s="89" t="s">
        <v>615</v>
      </c>
      <c r="C5410" s="89">
        <v>1171755</v>
      </c>
      <c r="D5410" s="89" t="s">
        <v>664</v>
      </c>
    </row>
    <row r="5411" spans="1:4" x14ac:dyDescent="0.25">
      <c r="A5411" s="89" t="s">
        <v>18</v>
      </c>
      <c r="B5411" s="89" t="s">
        <v>615</v>
      </c>
      <c r="C5411" s="89">
        <v>209817</v>
      </c>
      <c r="D5411" s="89" t="s">
        <v>663</v>
      </c>
    </row>
    <row r="5412" spans="1:4" x14ac:dyDescent="0.25">
      <c r="A5412" s="89" t="s">
        <v>18</v>
      </c>
      <c r="B5412" s="89" t="s">
        <v>615</v>
      </c>
      <c r="C5412" s="89">
        <v>2726632</v>
      </c>
      <c r="D5412" s="89" t="s">
        <v>663</v>
      </c>
    </row>
    <row r="5413" spans="1:4" x14ac:dyDescent="0.25">
      <c r="A5413" s="89" t="s">
        <v>18</v>
      </c>
      <c r="B5413" s="89" t="s">
        <v>615</v>
      </c>
      <c r="C5413" s="89">
        <v>515042.51</v>
      </c>
      <c r="D5413" s="89" t="s">
        <v>666</v>
      </c>
    </row>
    <row r="5414" spans="1:4" x14ac:dyDescent="0.25">
      <c r="A5414" s="89" t="s">
        <v>18</v>
      </c>
      <c r="B5414" s="89" t="s">
        <v>615</v>
      </c>
      <c r="C5414" s="89">
        <v>273014</v>
      </c>
      <c r="D5414" s="89" t="s">
        <v>663</v>
      </c>
    </row>
    <row r="5415" spans="1:4" x14ac:dyDescent="0.25">
      <c r="A5415" s="89" t="s">
        <v>18</v>
      </c>
      <c r="B5415" s="89" t="s">
        <v>615</v>
      </c>
      <c r="C5415" s="89">
        <v>400000</v>
      </c>
      <c r="D5415" s="89" t="s">
        <v>663</v>
      </c>
    </row>
    <row r="5416" spans="1:4" x14ac:dyDescent="0.25">
      <c r="A5416" s="89" t="s">
        <v>18</v>
      </c>
      <c r="B5416" s="89" t="s">
        <v>615</v>
      </c>
      <c r="C5416" s="89">
        <v>155416</v>
      </c>
      <c r="D5416" s="89" t="s">
        <v>666</v>
      </c>
    </row>
    <row r="5417" spans="1:4" x14ac:dyDescent="0.25">
      <c r="A5417" s="89" t="s">
        <v>18</v>
      </c>
      <c r="B5417" s="89" t="s">
        <v>615</v>
      </c>
      <c r="C5417" s="89">
        <v>3655220.38</v>
      </c>
      <c r="D5417" s="89" t="s">
        <v>666</v>
      </c>
    </row>
    <row r="5418" spans="1:4" x14ac:dyDescent="0.25">
      <c r="A5418" s="89" t="s">
        <v>18</v>
      </c>
      <c r="B5418" s="89" t="s">
        <v>615</v>
      </c>
      <c r="C5418" s="89">
        <v>2634878</v>
      </c>
      <c r="D5418" s="89" t="s">
        <v>663</v>
      </c>
    </row>
    <row r="5419" spans="1:4" x14ac:dyDescent="0.25">
      <c r="A5419" s="89" t="s">
        <v>18</v>
      </c>
      <c r="B5419" s="89" t="s">
        <v>615</v>
      </c>
      <c r="C5419" s="89">
        <v>6567838</v>
      </c>
      <c r="D5419" s="89" t="s">
        <v>663</v>
      </c>
    </row>
    <row r="5420" spans="1:4" x14ac:dyDescent="0.25">
      <c r="A5420" s="89" t="s">
        <v>18</v>
      </c>
      <c r="B5420" s="89" t="s">
        <v>615</v>
      </c>
      <c r="C5420" s="89">
        <v>2254750</v>
      </c>
      <c r="D5420" s="89" t="s">
        <v>663</v>
      </c>
    </row>
    <row r="5421" spans="1:4" x14ac:dyDescent="0.25">
      <c r="A5421" s="89" t="s">
        <v>18</v>
      </c>
      <c r="B5421" s="89" t="s">
        <v>615</v>
      </c>
      <c r="C5421" s="89">
        <v>2914047</v>
      </c>
      <c r="D5421" s="89" t="s">
        <v>664</v>
      </c>
    </row>
    <row r="5422" spans="1:4" x14ac:dyDescent="0.25">
      <c r="A5422" s="89" t="s">
        <v>18</v>
      </c>
      <c r="B5422" s="89" t="s">
        <v>615</v>
      </c>
      <c r="C5422" s="89">
        <v>559220.49</v>
      </c>
      <c r="D5422" s="89" t="s">
        <v>663</v>
      </c>
    </row>
    <row r="5423" spans="1:4" x14ac:dyDescent="0.25">
      <c r="A5423" s="89" t="s">
        <v>18</v>
      </c>
      <c r="B5423" s="89" t="s">
        <v>615</v>
      </c>
      <c r="C5423" s="89">
        <v>1109697.95</v>
      </c>
      <c r="D5423" s="89" t="s">
        <v>666</v>
      </c>
    </row>
    <row r="5424" spans="1:4" x14ac:dyDescent="0.25">
      <c r="A5424" s="89" t="s">
        <v>18</v>
      </c>
      <c r="B5424" s="89" t="s">
        <v>615</v>
      </c>
      <c r="C5424" s="89">
        <v>696702.85</v>
      </c>
      <c r="D5424" s="89" t="s">
        <v>666</v>
      </c>
    </row>
    <row r="5425" spans="1:4" x14ac:dyDescent="0.25">
      <c r="A5425" s="89" t="s">
        <v>18</v>
      </c>
      <c r="B5425" s="89" t="s">
        <v>615</v>
      </c>
      <c r="C5425" s="89">
        <v>118586.31</v>
      </c>
      <c r="D5425" s="89" t="s">
        <v>666</v>
      </c>
    </row>
    <row r="5426" spans="1:4" x14ac:dyDescent="0.25">
      <c r="A5426" s="89" t="s">
        <v>18</v>
      </c>
      <c r="B5426" s="89" t="s">
        <v>615</v>
      </c>
      <c r="C5426" s="89">
        <v>4710528</v>
      </c>
      <c r="D5426" s="89" t="s">
        <v>663</v>
      </c>
    </row>
    <row r="5427" spans="1:4" x14ac:dyDescent="0.25">
      <c r="A5427" s="89" t="s">
        <v>18</v>
      </c>
      <c r="B5427" s="89" t="s">
        <v>615</v>
      </c>
      <c r="C5427" s="89">
        <v>369778.81</v>
      </c>
      <c r="D5427" s="89" t="s">
        <v>663</v>
      </c>
    </row>
    <row r="5428" spans="1:4" x14ac:dyDescent="0.25">
      <c r="A5428" s="89" t="s">
        <v>18</v>
      </c>
      <c r="B5428" s="89" t="s">
        <v>615</v>
      </c>
      <c r="C5428" s="89">
        <v>220477.25</v>
      </c>
      <c r="D5428" s="89" t="s">
        <v>663</v>
      </c>
    </row>
    <row r="5429" spans="1:4" x14ac:dyDescent="0.25">
      <c r="A5429" s="89" t="s">
        <v>18</v>
      </c>
      <c r="B5429" s="89" t="s">
        <v>615</v>
      </c>
      <c r="C5429" s="89">
        <v>-22231.14</v>
      </c>
      <c r="D5429" s="89" t="s">
        <v>663</v>
      </c>
    </row>
    <row r="5430" spans="1:4" x14ac:dyDescent="0.25">
      <c r="A5430" s="89" t="s">
        <v>18</v>
      </c>
      <c r="B5430" s="89" t="s">
        <v>615</v>
      </c>
      <c r="C5430" s="89">
        <v>8840917.0500000007</v>
      </c>
      <c r="D5430" s="89" t="s">
        <v>663</v>
      </c>
    </row>
    <row r="5431" spans="1:4" x14ac:dyDescent="0.25">
      <c r="A5431" s="89" t="s">
        <v>18</v>
      </c>
      <c r="B5431" s="89" t="s">
        <v>615</v>
      </c>
      <c r="C5431" s="89">
        <v>1387644</v>
      </c>
      <c r="D5431" s="89" t="s">
        <v>666</v>
      </c>
    </row>
    <row r="5432" spans="1:4" x14ac:dyDescent="0.25">
      <c r="A5432" s="89" t="s">
        <v>18</v>
      </c>
      <c r="B5432" s="89" t="s">
        <v>615</v>
      </c>
      <c r="C5432" s="89">
        <v>1593845.8</v>
      </c>
      <c r="D5432" s="89" t="s">
        <v>663</v>
      </c>
    </row>
    <row r="5433" spans="1:4" x14ac:dyDescent="0.25">
      <c r="A5433" s="89" t="s">
        <v>18</v>
      </c>
      <c r="B5433" s="89" t="s">
        <v>615</v>
      </c>
      <c r="C5433" s="89">
        <v>2644164.38</v>
      </c>
      <c r="D5433" s="89" t="s">
        <v>663</v>
      </c>
    </row>
    <row r="5434" spans="1:4" x14ac:dyDescent="0.25">
      <c r="A5434" s="89" t="s">
        <v>18</v>
      </c>
      <c r="B5434" s="89" t="s">
        <v>615</v>
      </c>
      <c r="C5434" s="89">
        <v>926341</v>
      </c>
      <c r="D5434" s="89" t="s">
        <v>663</v>
      </c>
    </row>
    <row r="5435" spans="1:4" x14ac:dyDescent="0.25">
      <c r="A5435" s="89" t="s">
        <v>18</v>
      </c>
      <c r="B5435" s="89" t="s">
        <v>615</v>
      </c>
      <c r="C5435" s="89">
        <v>286158.93</v>
      </c>
      <c r="D5435" s="89" t="s">
        <v>666</v>
      </c>
    </row>
    <row r="5436" spans="1:4" x14ac:dyDescent="0.25">
      <c r="A5436" s="89" t="s">
        <v>18</v>
      </c>
      <c r="B5436" s="89" t="s">
        <v>615</v>
      </c>
      <c r="C5436" s="89">
        <v>562989</v>
      </c>
      <c r="D5436" s="89" t="s">
        <v>666</v>
      </c>
    </row>
    <row r="5437" spans="1:4" x14ac:dyDescent="0.25">
      <c r="A5437" s="89" t="s">
        <v>18</v>
      </c>
      <c r="B5437" s="89" t="s">
        <v>615</v>
      </c>
      <c r="C5437" s="89">
        <v>806719</v>
      </c>
      <c r="D5437" s="89" t="s">
        <v>664</v>
      </c>
    </row>
    <row r="5438" spans="1:4" x14ac:dyDescent="0.25">
      <c r="A5438" s="89" t="s">
        <v>18</v>
      </c>
      <c r="B5438" s="89" t="s">
        <v>615</v>
      </c>
      <c r="C5438" s="89">
        <v>1325780.07</v>
      </c>
      <c r="D5438" s="89" t="s">
        <v>663</v>
      </c>
    </row>
    <row r="5439" spans="1:4" x14ac:dyDescent="0.25">
      <c r="A5439" s="89" t="s">
        <v>18</v>
      </c>
      <c r="B5439" s="89" t="s">
        <v>615</v>
      </c>
      <c r="C5439" s="89">
        <v>807460.64</v>
      </c>
      <c r="D5439" s="89" t="s">
        <v>663</v>
      </c>
    </row>
    <row r="5440" spans="1:4" x14ac:dyDescent="0.25">
      <c r="A5440" s="89" t="s">
        <v>18</v>
      </c>
      <c r="B5440" s="89" t="s">
        <v>615</v>
      </c>
      <c r="C5440" s="89">
        <v>10599196</v>
      </c>
      <c r="D5440" s="89" t="s">
        <v>663</v>
      </c>
    </row>
    <row r="5441" spans="1:4" x14ac:dyDescent="0.25">
      <c r="A5441" s="89" t="s">
        <v>18</v>
      </c>
      <c r="B5441" s="89" t="s">
        <v>615</v>
      </c>
      <c r="C5441" s="89">
        <v>2401020.5</v>
      </c>
      <c r="D5441" s="89" t="s">
        <v>666</v>
      </c>
    </row>
    <row r="5442" spans="1:4" x14ac:dyDescent="0.25">
      <c r="A5442" s="89" t="s">
        <v>18</v>
      </c>
      <c r="B5442" s="89" t="s">
        <v>615</v>
      </c>
      <c r="C5442" s="89">
        <v>686605</v>
      </c>
      <c r="D5442" s="89" t="s">
        <v>666</v>
      </c>
    </row>
    <row r="5443" spans="1:4" x14ac:dyDescent="0.25">
      <c r="A5443" s="89" t="s">
        <v>18</v>
      </c>
      <c r="B5443" s="89" t="s">
        <v>615</v>
      </c>
      <c r="C5443" s="89">
        <v>973442</v>
      </c>
      <c r="D5443" s="89" t="s">
        <v>666</v>
      </c>
    </row>
    <row r="5444" spans="1:4" x14ac:dyDescent="0.25">
      <c r="A5444" s="89" t="s">
        <v>18</v>
      </c>
      <c r="B5444" s="89" t="s">
        <v>615</v>
      </c>
      <c r="C5444" s="89">
        <v>-48313</v>
      </c>
      <c r="D5444" s="89" t="s">
        <v>663</v>
      </c>
    </row>
    <row r="5445" spans="1:4" x14ac:dyDescent="0.25">
      <c r="A5445" s="89" t="s">
        <v>18</v>
      </c>
      <c r="B5445" s="89" t="s">
        <v>615</v>
      </c>
      <c r="C5445" s="89">
        <v>169006.6</v>
      </c>
      <c r="D5445" s="89" t="s">
        <v>663</v>
      </c>
    </row>
    <row r="5446" spans="1:4" x14ac:dyDescent="0.25">
      <c r="A5446" s="89" t="s">
        <v>18</v>
      </c>
      <c r="B5446" s="89" t="s">
        <v>615</v>
      </c>
      <c r="C5446" s="89">
        <v>3942908</v>
      </c>
      <c r="D5446" s="89" t="s">
        <v>663</v>
      </c>
    </row>
    <row r="5447" spans="1:4" x14ac:dyDescent="0.25">
      <c r="A5447" s="89" t="s">
        <v>18</v>
      </c>
      <c r="B5447" s="89" t="s">
        <v>615</v>
      </c>
      <c r="C5447" s="89">
        <v>3572468.86</v>
      </c>
      <c r="D5447" s="89" t="s">
        <v>666</v>
      </c>
    </row>
    <row r="5448" spans="1:4" x14ac:dyDescent="0.25">
      <c r="A5448" s="89" t="s">
        <v>18</v>
      </c>
      <c r="B5448" s="89" t="s">
        <v>615</v>
      </c>
      <c r="C5448" s="89">
        <v>2376449.7599999998</v>
      </c>
      <c r="D5448" s="89" t="s">
        <v>664</v>
      </c>
    </row>
    <row r="5449" spans="1:4" x14ac:dyDescent="0.25">
      <c r="A5449" s="89" t="s">
        <v>18</v>
      </c>
      <c r="B5449" s="89" t="s">
        <v>615</v>
      </c>
      <c r="C5449" s="89">
        <v>2804605</v>
      </c>
      <c r="D5449" s="89" t="s">
        <v>664</v>
      </c>
    </row>
    <row r="5450" spans="1:4" x14ac:dyDescent="0.25">
      <c r="A5450" s="89" t="s">
        <v>18</v>
      </c>
      <c r="B5450" s="89" t="s">
        <v>615</v>
      </c>
      <c r="C5450" s="89">
        <v>1147922.27</v>
      </c>
      <c r="D5450" s="89" t="s">
        <v>663</v>
      </c>
    </row>
    <row r="5451" spans="1:4" x14ac:dyDescent="0.25">
      <c r="A5451" s="89" t="s">
        <v>18</v>
      </c>
      <c r="B5451" s="89" t="s">
        <v>615</v>
      </c>
      <c r="C5451" s="89">
        <v>269659.53999999998</v>
      </c>
      <c r="D5451" s="89" t="s">
        <v>663</v>
      </c>
    </row>
    <row r="5452" spans="1:4" x14ac:dyDescent="0.25">
      <c r="A5452" s="89" t="s">
        <v>18</v>
      </c>
      <c r="B5452" s="89" t="s">
        <v>615</v>
      </c>
      <c r="C5452" s="89">
        <v>805197.62</v>
      </c>
      <c r="D5452" s="89" t="s">
        <v>666</v>
      </c>
    </row>
    <row r="5453" spans="1:4" x14ac:dyDescent="0.25">
      <c r="A5453" s="89" t="s">
        <v>18</v>
      </c>
      <c r="B5453" s="89" t="s">
        <v>615</v>
      </c>
      <c r="C5453" s="89">
        <v>-15900</v>
      </c>
      <c r="D5453" s="89" t="s">
        <v>663</v>
      </c>
    </row>
    <row r="5454" spans="1:4" x14ac:dyDescent="0.25">
      <c r="A5454" s="89" t="s">
        <v>18</v>
      </c>
      <c r="B5454" s="89" t="s">
        <v>615</v>
      </c>
      <c r="C5454" s="89">
        <v>4019052</v>
      </c>
      <c r="D5454" s="89" t="s">
        <v>663</v>
      </c>
    </row>
    <row r="5455" spans="1:4" x14ac:dyDescent="0.25">
      <c r="A5455" s="89" t="s">
        <v>18</v>
      </c>
      <c r="B5455" s="89" t="s">
        <v>615</v>
      </c>
      <c r="C5455" s="89">
        <v>755800</v>
      </c>
      <c r="D5455" s="89" t="s">
        <v>666</v>
      </c>
    </row>
    <row r="5456" spans="1:4" x14ac:dyDescent="0.25">
      <c r="A5456" s="89" t="s">
        <v>18</v>
      </c>
      <c r="B5456" s="89" t="s">
        <v>615</v>
      </c>
      <c r="C5456" s="89">
        <v>1585449</v>
      </c>
      <c r="D5456" s="89" t="s">
        <v>663</v>
      </c>
    </row>
    <row r="5457" spans="1:4" x14ac:dyDescent="0.25">
      <c r="A5457" s="89" t="s">
        <v>18</v>
      </c>
      <c r="B5457" s="89" t="s">
        <v>615</v>
      </c>
      <c r="C5457" s="89">
        <v>2065976</v>
      </c>
      <c r="D5457" s="89" t="s">
        <v>663</v>
      </c>
    </row>
    <row r="5458" spans="1:4" x14ac:dyDescent="0.25">
      <c r="A5458" s="89" t="s">
        <v>18</v>
      </c>
      <c r="B5458" s="89" t="s">
        <v>615</v>
      </c>
      <c r="C5458" s="89">
        <v>3448614</v>
      </c>
      <c r="D5458" s="89" t="s">
        <v>663</v>
      </c>
    </row>
    <row r="5459" spans="1:4" x14ac:dyDescent="0.25">
      <c r="A5459" s="89" t="s">
        <v>18</v>
      </c>
      <c r="B5459" s="89" t="s">
        <v>615</v>
      </c>
      <c r="C5459" s="89">
        <v>1105633</v>
      </c>
      <c r="D5459" s="89" t="s">
        <v>664</v>
      </c>
    </row>
    <row r="5460" spans="1:4" x14ac:dyDescent="0.25">
      <c r="A5460" s="89" t="s">
        <v>18</v>
      </c>
      <c r="B5460" s="89" t="s">
        <v>615</v>
      </c>
      <c r="C5460" s="89">
        <v>660000</v>
      </c>
      <c r="D5460" s="89" t="s">
        <v>664</v>
      </c>
    </row>
    <row r="5461" spans="1:4" x14ac:dyDescent="0.25">
      <c r="A5461" s="89" t="s">
        <v>18</v>
      </c>
      <c r="B5461" s="89" t="s">
        <v>615</v>
      </c>
      <c r="C5461" s="89">
        <v>41132.58</v>
      </c>
      <c r="D5461" s="89" t="s">
        <v>663</v>
      </c>
    </row>
    <row r="5462" spans="1:4" x14ac:dyDescent="0.25">
      <c r="A5462" s="89" t="s">
        <v>18</v>
      </c>
      <c r="B5462" s="89" t="s">
        <v>615</v>
      </c>
      <c r="C5462" s="89">
        <v>6265222</v>
      </c>
      <c r="D5462" s="89" t="s">
        <v>663</v>
      </c>
    </row>
    <row r="5463" spans="1:4" x14ac:dyDescent="0.25">
      <c r="A5463" s="89" t="s">
        <v>18</v>
      </c>
      <c r="B5463" s="89" t="s">
        <v>615</v>
      </c>
      <c r="C5463" s="89">
        <v>1552717</v>
      </c>
      <c r="D5463" s="89" t="s">
        <v>663</v>
      </c>
    </row>
    <row r="5464" spans="1:4" x14ac:dyDescent="0.25">
      <c r="A5464" s="89" t="s">
        <v>18</v>
      </c>
      <c r="B5464" s="89" t="s">
        <v>615</v>
      </c>
      <c r="C5464" s="89">
        <v>150288.66</v>
      </c>
      <c r="D5464" s="89" t="s">
        <v>663</v>
      </c>
    </row>
    <row r="5465" spans="1:4" x14ac:dyDescent="0.25">
      <c r="A5465" s="89" t="s">
        <v>18</v>
      </c>
      <c r="B5465" s="89" t="s">
        <v>615</v>
      </c>
      <c r="C5465" s="89">
        <v>500447.94</v>
      </c>
      <c r="D5465" s="89" t="s">
        <v>663</v>
      </c>
    </row>
    <row r="5466" spans="1:4" x14ac:dyDescent="0.25">
      <c r="A5466" s="89" t="s">
        <v>18</v>
      </c>
      <c r="B5466" s="89" t="s">
        <v>615</v>
      </c>
      <c r="C5466" s="89">
        <v>980067.43</v>
      </c>
      <c r="D5466" s="89" t="s">
        <v>663</v>
      </c>
    </row>
    <row r="5467" spans="1:4" x14ac:dyDescent="0.25">
      <c r="A5467" s="89" t="s">
        <v>18</v>
      </c>
      <c r="B5467" s="89" t="s">
        <v>615</v>
      </c>
      <c r="C5467" s="89">
        <v>3706688</v>
      </c>
      <c r="D5467" s="89" t="s">
        <v>663</v>
      </c>
    </row>
    <row r="5468" spans="1:4" x14ac:dyDescent="0.25">
      <c r="A5468" s="89" t="s">
        <v>18</v>
      </c>
      <c r="B5468" s="89" t="s">
        <v>615</v>
      </c>
      <c r="C5468" s="89">
        <v>1937366</v>
      </c>
      <c r="D5468" s="89" t="s">
        <v>666</v>
      </c>
    </row>
    <row r="5469" spans="1:4" x14ac:dyDescent="0.25">
      <c r="A5469" s="89" t="s">
        <v>18</v>
      </c>
      <c r="B5469" s="89" t="s">
        <v>615</v>
      </c>
      <c r="C5469" s="89">
        <v>483656</v>
      </c>
      <c r="D5469" s="89" t="s">
        <v>666</v>
      </c>
    </row>
    <row r="5470" spans="1:4" x14ac:dyDescent="0.25">
      <c r="A5470" s="89" t="s">
        <v>18</v>
      </c>
      <c r="B5470" s="89" t="s">
        <v>615</v>
      </c>
      <c r="C5470" s="89">
        <v>13298817</v>
      </c>
      <c r="D5470" s="89" t="s">
        <v>663</v>
      </c>
    </row>
    <row r="5471" spans="1:4" x14ac:dyDescent="0.25">
      <c r="A5471" s="89" t="s">
        <v>18</v>
      </c>
      <c r="B5471" s="89" t="s">
        <v>615</v>
      </c>
      <c r="C5471" s="89">
        <v>544642</v>
      </c>
      <c r="D5471" s="89" t="s">
        <v>664</v>
      </c>
    </row>
    <row r="5472" spans="1:4" x14ac:dyDescent="0.25">
      <c r="A5472" s="89" t="s">
        <v>18</v>
      </c>
      <c r="B5472" s="89" t="s">
        <v>615</v>
      </c>
      <c r="C5472" s="89">
        <v>2680880</v>
      </c>
      <c r="D5472" s="89" t="s">
        <v>663</v>
      </c>
    </row>
    <row r="5473" spans="1:4" x14ac:dyDescent="0.25">
      <c r="A5473" s="89" t="s">
        <v>18</v>
      </c>
      <c r="B5473" s="89" t="s">
        <v>615</v>
      </c>
      <c r="C5473" s="89">
        <v>1237458</v>
      </c>
      <c r="D5473" s="89" t="s">
        <v>663</v>
      </c>
    </row>
    <row r="5474" spans="1:4" x14ac:dyDescent="0.25">
      <c r="A5474" s="89" t="s">
        <v>18</v>
      </c>
      <c r="B5474" s="89" t="s">
        <v>615</v>
      </c>
      <c r="C5474" s="89">
        <v>813867</v>
      </c>
      <c r="D5474" s="89" t="s">
        <v>663</v>
      </c>
    </row>
    <row r="5475" spans="1:4" x14ac:dyDescent="0.25">
      <c r="A5475" s="89" t="s">
        <v>18</v>
      </c>
      <c r="B5475" s="89" t="s">
        <v>615</v>
      </c>
      <c r="C5475" s="89">
        <v>16907469</v>
      </c>
      <c r="D5475" s="89" t="s">
        <v>663</v>
      </c>
    </row>
    <row r="5476" spans="1:4" x14ac:dyDescent="0.25">
      <c r="A5476" s="89" t="s">
        <v>18</v>
      </c>
      <c r="B5476" s="89" t="s">
        <v>615</v>
      </c>
      <c r="C5476" s="89">
        <v>932724.26</v>
      </c>
      <c r="D5476" s="89" t="s">
        <v>666</v>
      </c>
    </row>
    <row r="5477" spans="1:4" x14ac:dyDescent="0.25">
      <c r="A5477" s="89" t="s">
        <v>18</v>
      </c>
      <c r="B5477" s="89" t="s">
        <v>615</v>
      </c>
      <c r="C5477" s="89">
        <v>657618.71</v>
      </c>
      <c r="D5477" s="89" t="s">
        <v>663</v>
      </c>
    </row>
    <row r="5478" spans="1:4" x14ac:dyDescent="0.25">
      <c r="A5478" s="89" t="s">
        <v>18</v>
      </c>
      <c r="B5478" s="89" t="s">
        <v>615</v>
      </c>
      <c r="C5478" s="89">
        <v>791458.63</v>
      </c>
      <c r="D5478" s="89" t="s">
        <v>666</v>
      </c>
    </row>
    <row r="5479" spans="1:4" x14ac:dyDescent="0.25">
      <c r="A5479" s="89" t="s">
        <v>18</v>
      </c>
      <c r="B5479" s="89" t="s">
        <v>615</v>
      </c>
      <c r="C5479" s="89">
        <v>798445.21</v>
      </c>
      <c r="D5479" s="89" t="s">
        <v>666</v>
      </c>
    </row>
    <row r="5480" spans="1:4" x14ac:dyDescent="0.25">
      <c r="A5480" s="89" t="s">
        <v>18</v>
      </c>
      <c r="B5480" s="89" t="s">
        <v>615</v>
      </c>
      <c r="C5480" s="89">
        <v>14245446.35</v>
      </c>
      <c r="D5480" s="89" t="s">
        <v>663</v>
      </c>
    </row>
    <row r="5481" spans="1:4" x14ac:dyDescent="0.25">
      <c r="A5481" s="89" t="s">
        <v>18</v>
      </c>
      <c r="B5481" s="89" t="s">
        <v>615</v>
      </c>
      <c r="C5481" s="89">
        <v>1584680</v>
      </c>
      <c r="D5481" s="89" t="s">
        <v>666</v>
      </c>
    </row>
    <row r="5482" spans="1:4" x14ac:dyDescent="0.25">
      <c r="A5482" s="89" t="s">
        <v>18</v>
      </c>
      <c r="B5482" s="89" t="s">
        <v>615</v>
      </c>
      <c r="C5482" s="89">
        <v>793251</v>
      </c>
      <c r="D5482" s="89" t="s">
        <v>664</v>
      </c>
    </row>
    <row r="5483" spans="1:4" x14ac:dyDescent="0.25">
      <c r="A5483" s="89" t="s">
        <v>18</v>
      </c>
      <c r="B5483" s="89" t="s">
        <v>615</v>
      </c>
      <c r="C5483" s="89">
        <v>18416293</v>
      </c>
      <c r="D5483" s="89" t="s">
        <v>663</v>
      </c>
    </row>
    <row r="5484" spans="1:4" x14ac:dyDescent="0.25">
      <c r="A5484" s="89" t="s">
        <v>18</v>
      </c>
      <c r="B5484" s="89" t="s">
        <v>615</v>
      </c>
      <c r="C5484" s="89">
        <v>1122301.5</v>
      </c>
      <c r="D5484" s="89" t="s">
        <v>666</v>
      </c>
    </row>
    <row r="5485" spans="1:4" x14ac:dyDescent="0.25">
      <c r="A5485" s="89" t="s">
        <v>18</v>
      </c>
      <c r="B5485" s="89" t="s">
        <v>615</v>
      </c>
      <c r="C5485" s="89">
        <v>5170981</v>
      </c>
      <c r="D5485" s="89" t="s">
        <v>664</v>
      </c>
    </row>
    <row r="5486" spans="1:4" x14ac:dyDescent="0.25">
      <c r="A5486" s="89" t="s">
        <v>18</v>
      </c>
      <c r="B5486" s="89" t="s">
        <v>615</v>
      </c>
      <c r="C5486" s="89">
        <v>6821708</v>
      </c>
      <c r="D5486" s="89" t="s">
        <v>663</v>
      </c>
    </row>
    <row r="5487" spans="1:4" x14ac:dyDescent="0.25">
      <c r="A5487" s="89" t="s">
        <v>18</v>
      </c>
      <c r="B5487" s="89" t="s">
        <v>615</v>
      </c>
      <c r="C5487" s="89">
        <v>1009071.95</v>
      </c>
      <c r="D5487" s="89" t="s">
        <v>663</v>
      </c>
    </row>
    <row r="5488" spans="1:4" x14ac:dyDescent="0.25">
      <c r="A5488" s="89" t="s">
        <v>18</v>
      </c>
      <c r="B5488" s="89" t="s">
        <v>615</v>
      </c>
      <c r="C5488" s="89">
        <v>1432437</v>
      </c>
      <c r="D5488" s="89" t="s">
        <v>663</v>
      </c>
    </row>
    <row r="5489" spans="1:4" x14ac:dyDescent="0.25">
      <c r="A5489" s="89" t="s">
        <v>18</v>
      </c>
      <c r="B5489" s="89" t="s">
        <v>615</v>
      </c>
      <c r="C5489" s="89">
        <v>25000</v>
      </c>
      <c r="D5489" s="89" t="s">
        <v>663</v>
      </c>
    </row>
    <row r="5490" spans="1:4" x14ac:dyDescent="0.25">
      <c r="A5490" s="89" t="s">
        <v>18</v>
      </c>
      <c r="B5490" s="89" t="s">
        <v>615</v>
      </c>
      <c r="C5490" s="89">
        <v>100000</v>
      </c>
      <c r="D5490" s="89" t="s">
        <v>666</v>
      </c>
    </row>
    <row r="5491" spans="1:4" x14ac:dyDescent="0.25">
      <c r="A5491" s="89" t="s">
        <v>18</v>
      </c>
      <c r="B5491" s="89" t="s">
        <v>615</v>
      </c>
      <c r="C5491" s="89">
        <v>590739.39</v>
      </c>
      <c r="D5491" s="89" t="s">
        <v>664</v>
      </c>
    </row>
    <row r="5492" spans="1:4" x14ac:dyDescent="0.25">
      <c r="A5492" s="89" t="s">
        <v>18</v>
      </c>
      <c r="B5492" s="89" t="s">
        <v>615</v>
      </c>
      <c r="C5492" s="89">
        <v>2194519.59</v>
      </c>
      <c r="D5492" s="89" t="s">
        <v>663</v>
      </c>
    </row>
    <row r="5493" spans="1:4" x14ac:dyDescent="0.25">
      <c r="A5493" s="89" t="s">
        <v>18</v>
      </c>
      <c r="B5493" s="89" t="s">
        <v>615</v>
      </c>
      <c r="C5493" s="89">
        <v>1008129.36</v>
      </c>
      <c r="D5493" s="89" t="s">
        <v>663</v>
      </c>
    </row>
    <row r="5494" spans="1:4" x14ac:dyDescent="0.25">
      <c r="A5494" s="89" t="s">
        <v>18</v>
      </c>
      <c r="B5494" s="89" t="s">
        <v>615</v>
      </c>
      <c r="C5494" s="89">
        <v>1694981.3</v>
      </c>
      <c r="D5494" s="89" t="s">
        <v>666</v>
      </c>
    </row>
    <row r="5495" spans="1:4" x14ac:dyDescent="0.25">
      <c r="A5495" s="89" t="s">
        <v>18</v>
      </c>
      <c r="B5495" s="89" t="s">
        <v>615</v>
      </c>
      <c r="C5495" s="89">
        <v>4231690</v>
      </c>
      <c r="D5495" s="89" t="s">
        <v>663</v>
      </c>
    </row>
    <row r="5496" spans="1:4" x14ac:dyDescent="0.25">
      <c r="A5496" s="89" t="s">
        <v>18</v>
      </c>
      <c r="B5496" s="89" t="s">
        <v>615</v>
      </c>
      <c r="C5496" s="89">
        <v>892717.42</v>
      </c>
      <c r="D5496" s="89" t="s">
        <v>666</v>
      </c>
    </row>
    <row r="5497" spans="1:4" x14ac:dyDescent="0.25">
      <c r="A5497" s="89" t="s">
        <v>18</v>
      </c>
      <c r="B5497" s="89" t="s">
        <v>615</v>
      </c>
      <c r="C5497" s="89">
        <v>5938021.5300000003</v>
      </c>
      <c r="D5497" s="89" t="s">
        <v>663</v>
      </c>
    </row>
    <row r="5498" spans="1:4" x14ac:dyDescent="0.25">
      <c r="A5498" s="89" t="s">
        <v>18</v>
      </c>
      <c r="B5498" s="89" t="s">
        <v>615</v>
      </c>
      <c r="C5498" s="89">
        <v>787362.1</v>
      </c>
      <c r="D5498" s="89" t="s">
        <v>663</v>
      </c>
    </row>
    <row r="5499" spans="1:4" x14ac:dyDescent="0.25">
      <c r="A5499" s="89" t="s">
        <v>18</v>
      </c>
      <c r="B5499" s="89" t="s">
        <v>615</v>
      </c>
      <c r="C5499" s="89">
        <v>567151.79</v>
      </c>
      <c r="D5499" s="89" t="s">
        <v>663</v>
      </c>
    </row>
    <row r="5500" spans="1:4" x14ac:dyDescent="0.25">
      <c r="A5500" s="89" t="s">
        <v>18</v>
      </c>
      <c r="B5500" s="89" t="s">
        <v>615</v>
      </c>
      <c r="C5500" s="89">
        <v>-567151.79</v>
      </c>
      <c r="D5500" s="89" t="s">
        <v>663</v>
      </c>
    </row>
    <row r="5501" spans="1:4" x14ac:dyDescent="0.25">
      <c r="A5501" s="89" t="s">
        <v>18</v>
      </c>
      <c r="B5501" s="89" t="s">
        <v>615</v>
      </c>
      <c r="C5501" s="89">
        <v>-472719.51</v>
      </c>
      <c r="D5501" s="89" t="s">
        <v>663</v>
      </c>
    </row>
    <row r="5502" spans="1:4" x14ac:dyDescent="0.25">
      <c r="A5502" s="89" t="s">
        <v>18</v>
      </c>
      <c r="B5502" s="89" t="s">
        <v>615</v>
      </c>
      <c r="C5502" s="89">
        <v>568162</v>
      </c>
      <c r="D5502" s="89" t="s">
        <v>666</v>
      </c>
    </row>
    <row r="5503" spans="1:4" x14ac:dyDescent="0.25">
      <c r="A5503" s="89" t="s">
        <v>18</v>
      </c>
      <c r="B5503" s="89" t="s">
        <v>615</v>
      </c>
      <c r="C5503" s="89">
        <v>-567151.79</v>
      </c>
      <c r="D5503" s="89" t="s">
        <v>666</v>
      </c>
    </row>
    <row r="5504" spans="1:4" x14ac:dyDescent="0.25">
      <c r="A5504" s="89" t="s">
        <v>18</v>
      </c>
      <c r="B5504" s="89" t="s">
        <v>615</v>
      </c>
      <c r="C5504" s="89">
        <v>705726.79</v>
      </c>
      <c r="D5504" s="89" t="s">
        <v>663</v>
      </c>
    </row>
    <row r="5505" spans="1:4" x14ac:dyDescent="0.25">
      <c r="A5505" s="89" t="s">
        <v>18</v>
      </c>
      <c r="B5505" s="89" t="s">
        <v>615</v>
      </c>
      <c r="C5505" s="89">
        <v>1669982.67</v>
      </c>
      <c r="D5505" s="89" t="s">
        <v>664</v>
      </c>
    </row>
    <row r="5506" spans="1:4" x14ac:dyDescent="0.25">
      <c r="A5506" s="89" t="s">
        <v>18</v>
      </c>
      <c r="B5506" s="89" t="s">
        <v>615</v>
      </c>
      <c r="C5506" s="89">
        <v>1371841.28</v>
      </c>
      <c r="D5506" s="89" t="s">
        <v>666</v>
      </c>
    </row>
    <row r="5507" spans="1:4" x14ac:dyDescent="0.25">
      <c r="A5507" s="89" t="s">
        <v>17</v>
      </c>
      <c r="B5507" s="89" t="s">
        <v>616</v>
      </c>
      <c r="C5507" s="89">
        <v>435687</v>
      </c>
      <c r="D5507" s="89" t="s">
        <v>664</v>
      </c>
    </row>
    <row r="5508" spans="1:4" x14ac:dyDescent="0.25">
      <c r="A5508" s="89" t="s">
        <v>17</v>
      </c>
      <c r="B5508" s="89" t="s">
        <v>616</v>
      </c>
      <c r="C5508" s="89">
        <v>30000</v>
      </c>
      <c r="D5508" s="89" t="s">
        <v>666</v>
      </c>
    </row>
    <row r="5509" spans="1:4" x14ac:dyDescent="0.25">
      <c r="A5509" s="89" t="s">
        <v>17</v>
      </c>
      <c r="B5509" s="89" t="s">
        <v>616</v>
      </c>
      <c r="C5509" s="89">
        <v>498542</v>
      </c>
      <c r="D5509" s="89" t="s">
        <v>664</v>
      </c>
    </row>
    <row r="5510" spans="1:4" x14ac:dyDescent="0.25">
      <c r="A5510" s="89" t="s">
        <v>17</v>
      </c>
      <c r="B5510" s="89" t="s">
        <v>616</v>
      </c>
      <c r="C5510" s="89">
        <v>376968.35</v>
      </c>
      <c r="D5510" s="89" t="s">
        <v>666</v>
      </c>
    </row>
    <row r="5511" spans="1:4" x14ac:dyDescent="0.25">
      <c r="A5511" s="89" t="s">
        <v>17</v>
      </c>
      <c r="B5511" s="89" t="s">
        <v>616</v>
      </c>
      <c r="C5511" s="89">
        <v>524067</v>
      </c>
      <c r="D5511" s="89" t="s">
        <v>664</v>
      </c>
    </row>
    <row r="5512" spans="1:4" x14ac:dyDescent="0.25">
      <c r="A5512" s="89" t="s">
        <v>17</v>
      </c>
      <c r="B5512" s="89" t="s">
        <v>616</v>
      </c>
      <c r="C5512" s="89">
        <v>150000</v>
      </c>
      <c r="D5512" s="89" t="s">
        <v>664</v>
      </c>
    </row>
    <row r="5513" spans="1:4" x14ac:dyDescent="0.25">
      <c r="A5513" s="89" t="s">
        <v>17</v>
      </c>
      <c r="B5513" s="89" t="s">
        <v>616</v>
      </c>
      <c r="C5513" s="89">
        <v>50000</v>
      </c>
      <c r="D5513" s="89" t="s">
        <v>664</v>
      </c>
    </row>
    <row r="5514" spans="1:4" x14ac:dyDescent="0.25">
      <c r="A5514" s="89" t="s">
        <v>17</v>
      </c>
      <c r="B5514" s="89" t="s">
        <v>616</v>
      </c>
      <c r="C5514" s="89">
        <v>250885</v>
      </c>
      <c r="D5514" s="89" t="s">
        <v>666</v>
      </c>
    </row>
    <row r="5515" spans="1:4" x14ac:dyDescent="0.25">
      <c r="A5515" s="89" t="s">
        <v>17</v>
      </c>
      <c r="B5515" s="89" t="s">
        <v>616</v>
      </c>
      <c r="C5515" s="89">
        <v>43774</v>
      </c>
      <c r="D5515" s="89" t="s">
        <v>664</v>
      </c>
    </row>
    <row r="5516" spans="1:4" x14ac:dyDescent="0.25">
      <c r="A5516" s="89" t="s">
        <v>17</v>
      </c>
      <c r="B5516" s="89" t="s">
        <v>616</v>
      </c>
      <c r="C5516" s="89">
        <v>-53442.05</v>
      </c>
      <c r="D5516" s="89" t="s">
        <v>666</v>
      </c>
    </row>
    <row r="5517" spans="1:4" x14ac:dyDescent="0.25">
      <c r="A5517" s="89" t="s">
        <v>17</v>
      </c>
      <c r="B5517" s="89" t="s">
        <v>616</v>
      </c>
      <c r="C5517" s="89">
        <v>988593.88</v>
      </c>
      <c r="D5517" s="89" t="s">
        <v>663</v>
      </c>
    </row>
    <row r="5518" spans="1:4" x14ac:dyDescent="0.25">
      <c r="A5518" s="89" t="s">
        <v>17</v>
      </c>
      <c r="B5518" s="89" t="s">
        <v>616</v>
      </c>
      <c r="C5518" s="89">
        <v>1138663</v>
      </c>
      <c r="D5518" s="89" t="s">
        <v>666</v>
      </c>
    </row>
    <row r="5519" spans="1:4" x14ac:dyDescent="0.25">
      <c r="A5519" s="89" t="s">
        <v>17</v>
      </c>
      <c r="B5519" s="89" t="s">
        <v>616</v>
      </c>
      <c r="C5519" s="89">
        <v>1421949</v>
      </c>
      <c r="D5519" s="89" t="s">
        <v>663</v>
      </c>
    </row>
    <row r="5520" spans="1:4" x14ac:dyDescent="0.25">
      <c r="A5520" s="89" t="s">
        <v>17</v>
      </c>
      <c r="B5520" s="89" t="s">
        <v>616</v>
      </c>
      <c r="C5520" s="89">
        <v>813575</v>
      </c>
      <c r="D5520" s="89" t="s">
        <v>666</v>
      </c>
    </row>
    <row r="5521" spans="1:4" x14ac:dyDescent="0.25">
      <c r="A5521" s="89" t="s">
        <v>17</v>
      </c>
      <c r="B5521" s="89" t="s">
        <v>616</v>
      </c>
      <c r="C5521" s="89">
        <v>1213027</v>
      </c>
      <c r="D5521" s="89" t="s">
        <v>664</v>
      </c>
    </row>
    <row r="5522" spans="1:4" x14ac:dyDescent="0.25">
      <c r="A5522" s="89" t="s">
        <v>17</v>
      </c>
      <c r="B5522" s="89" t="s">
        <v>616</v>
      </c>
      <c r="C5522" s="89">
        <v>97968.320000000007</v>
      </c>
      <c r="D5522" s="89" t="s">
        <v>664</v>
      </c>
    </row>
    <row r="5523" spans="1:4" x14ac:dyDescent="0.25">
      <c r="A5523" s="89" t="s">
        <v>17</v>
      </c>
      <c r="B5523" s="89" t="s">
        <v>616</v>
      </c>
      <c r="C5523" s="89">
        <v>615463.56000000006</v>
      </c>
      <c r="D5523" s="89" t="s">
        <v>664</v>
      </c>
    </row>
    <row r="5524" spans="1:4" x14ac:dyDescent="0.25">
      <c r="A5524" s="89" t="s">
        <v>17</v>
      </c>
      <c r="B5524" s="89" t="s">
        <v>616</v>
      </c>
      <c r="C5524" s="89">
        <v>335348</v>
      </c>
      <c r="D5524" s="89" t="s">
        <v>663</v>
      </c>
    </row>
    <row r="5525" spans="1:4" x14ac:dyDescent="0.25">
      <c r="A5525" s="89" t="s">
        <v>17</v>
      </c>
      <c r="B5525" s="89" t="s">
        <v>616</v>
      </c>
      <c r="C5525" s="89">
        <v>39309.93</v>
      </c>
      <c r="D5525" s="89" t="s">
        <v>663</v>
      </c>
    </row>
    <row r="5526" spans="1:4" x14ac:dyDescent="0.25">
      <c r="A5526" s="89" t="s">
        <v>17</v>
      </c>
      <c r="B5526" s="89" t="s">
        <v>616</v>
      </c>
      <c r="C5526" s="89">
        <v>780410.12</v>
      </c>
      <c r="D5526" s="89" t="s">
        <v>663</v>
      </c>
    </row>
    <row r="5527" spans="1:4" x14ac:dyDescent="0.25">
      <c r="A5527" s="89" t="s">
        <v>17</v>
      </c>
      <c r="B5527" s="89" t="s">
        <v>616</v>
      </c>
      <c r="C5527" s="89">
        <v>197488.8</v>
      </c>
      <c r="D5527" s="89" t="s">
        <v>663</v>
      </c>
    </row>
    <row r="5528" spans="1:4" x14ac:dyDescent="0.25">
      <c r="A5528" s="89" t="s">
        <v>17</v>
      </c>
      <c r="B5528" s="89" t="s">
        <v>616</v>
      </c>
      <c r="C5528" s="89">
        <v>428046.59</v>
      </c>
      <c r="D5528" s="89" t="s">
        <v>663</v>
      </c>
    </row>
    <row r="5529" spans="1:4" x14ac:dyDescent="0.25">
      <c r="A5529" s="89" t="s">
        <v>17</v>
      </c>
      <c r="B5529" s="89" t="s">
        <v>616</v>
      </c>
      <c r="C5529" s="89">
        <v>548154</v>
      </c>
      <c r="D5529" s="89" t="s">
        <v>666</v>
      </c>
    </row>
    <row r="5530" spans="1:4" x14ac:dyDescent="0.25">
      <c r="A5530" s="89" t="s">
        <v>17</v>
      </c>
      <c r="B5530" s="89" t="s">
        <v>616</v>
      </c>
      <c r="C5530" s="89">
        <v>1649631.5</v>
      </c>
      <c r="D5530" s="89" t="s">
        <v>664</v>
      </c>
    </row>
    <row r="5531" spans="1:4" x14ac:dyDescent="0.25">
      <c r="A5531" s="89" t="s">
        <v>17</v>
      </c>
      <c r="B5531" s="89" t="s">
        <v>616</v>
      </c>
      <c r="C5531" s="89">
        <v>225938.82</v>
      </c>
      <c r="D5531" s="89" t="s">
        <v>663</v>
      </c>
    </row>
    <row r="5532" spans="1:4" x14ac:dyDescent="0.25">
      <c r="A5532" s="89" t="s">
        <v>17</v>
      </c>
      <c r="B5532" s="89" t="s">
        <v>616</v>
      </c>
      <c r="C5532" s="89">
        <v>230964</v>
      </c>
      <c r="D5532" s="89" t="s">
        <v>664</v>
      </c>
    </row>
    <row r="5533" spans="1:4" x14ac:dyDescent="0.25">
      <c r="A5533" s="89" t="s">
        <v>17</v>
      </c>
      <c r="B5533" s="89" t="s">
        <v>616</v>
      </c>
      <c r="C5533" s="89">
        <v>394315</v>
      </c>
      <c r="D5533" s="89" t="s">
        <v>664</v>
      </c>
    </row>
    <row r="5534" spans="1:4" x14ac:dyDescent="0.25">
      <c r="A5534" s="89" t="s">
        <v>17</v>
      </c>
      <c r="B5534" s="89" t="s">
        <v>616</v>
      </c>
      <c r="C5534" s="89">
        <v>309419</v>
      </c>
      <c r="D5534" s="89" t="s">
        <v>664</v>
      </c>
    </row>
    <row r="5535" spans="1:4" x14ac:dyDescent="0.25">
      <c r="A5535" s="89" t="s">
        <v>17</v>
      </c>
      <c r="B5535" s="89" t="s">
        <v>616</v>
      </c>
      <c r="C5535" s="89">
        <v>-1993.77</v>
      </c>
      <c r="D5535" s="89" t="s">
        <v>664</v>
      </c>
    </row>
    <row r="5536" spans="1:4" x14ac:dyDescent="0.25">
      <c r="A5536" s="89" t="s">
        <v>17</v>
      </c>
      <c r="B5536" s="89" t="s">
        <v>616</v>
      </c>
      <c r="C5536" s="89">
        <v>100000</v>
      </c>
      <c r="D5536" s="89" t="s">
        <v>664</v>
      </c>
    </row>
    <row r="5537" spans="1:4" x14ac:dyDescent="0.25">
      <c r="A5537" s="89" t="s">
        <v>17</v>
      </c>
      <c r="B5537" s="89" t="s">
        <v>616</v>
      </c>
      <c r="C5537" s="89">
        <v>284036</v>
      </c>
      <c r="D5537" s="89" t="s">
        <v>663</v>
      </c>
    </row>
    <row r="5538" spans="1:4" x14ac:dyDescent="0.25">
      <c r="A5538" s="89" t="s">
        <v>17</v>
      </c>
      <c r="B5538" s="89" t="s">
        <v>616</v>
      </c>
      <c r="C5538" s="89">
        <v>65733.320000000007</v>
      </c>
      <c r="D5538" s="89" t="s">
        <v>663</v>
      </c>
    </row>
    <row r="5539" spans="1:4" x14ac:dyDescent="0.25">
      <c r="A5539" s="89" t="s">
        <v>17</v>
      </c>
      <c r="B5539" s="89" t="s">
        <v>616</v>
      </c>
      <c r="C5539" s="89">
        <v>1202835</v>
      </c>
      <c r="D5539" s="89" t="s">
        <v>664</v>
      </c>
    </row>
    <row r="5540" spans="1:4" x14ac:dyDescent="0.25">
      <c r="A5540" s="89" t="s">
        <v>17</v>
      </c>
      <c r="B5540" s="89" t="s">
        <v>616</v>
      </c>
      <c r="C5540" s="89">
        <v>56439.68</v>
      </c>
      <c r="D5540" s="89" t="s">
        <v>664</v>
      </c>
    </row>
    <row r="5541" spans="1:4" x14ac:dyDescent="0.25">
      <c r="A5541" s="89" t="s">
        <v>17</v>
      </c>
      <c r="B5541" s="89" t="s">
        <v>616</v>
      </c>
      <c r="C5541" s="89">
        <v>453391</v>
      </c>
      <c r="D5541" s="89" t="s">
        <v>663</v>
      </c>
    </row>
    <row r="5542" spans="1:4" x14ac:dyDescent="0.25">
      <c r="A5542" s="89" t="s">
        <v>17</v>
      </c>
      <c r="B5542" s="89" t="s">
        <v>616</v>
      </c>
      <c r="C5542" s="89">
        <v>794942</v>
      </c>
      <c r="D5542" s="89" t="s">
        <v>663</v>
      </c>
    </row>
    <row r="5543" spans="1:4" x14ac:dyDescent="0.25">
      <c r="A5543" s="89" t="s">
        <v>17</v>
      </c>
      <c r="B5543" s="89" t="s">
        <v>616</v>
      </c>
      <c r="C5543" s="89">
        <v>104562.91</v>
      </c>
      <c r="D5543" s="89" t="s">
        <v>664</v>
      </c>
    </row>
    <row r="5544" spans="1:4" x14ac:dyDescent="0.25">
      <c r="A5544" s="89" t="s">
        <v>17</v>
      </c>
      <c r="B5544" s="89" t="s">
        <v>616</v>
      </c>
      <c r="C5544" s="89">
        <v>-2234.8200000000002</v>
      </c>
      <c r="D5544" s="89" t="s">
        <v>664</v>
      </c>
    </row>
    <row r="5545" spans="1:4" x14ac:dyDescent="0.25">
      <c r="A5545" s="89" t="s">
        <v>17</v>
      </c>
      <c r="B5545" s="89" t="s">
        <v>616</v>
      </c>
      <c r="C5545" s="89">
        <v>119768.2</v>
      </c>
      <c r="D5545" s="89" t="s">
        <v>664</v>
      </c>
    </row>
    <row r="5546" spans="1:4" x14ac:dyDescent="0.25">
      <c r="A5546" s="89" t="s">
        <v>17</v>
      </c>
      <c r="B5546" s="89" t="s">
        <v>616</v>
      </c>
      <c r="C5546" s="89">
        <v>478372</v>
      </c>
      <c r="D5546" s="89" t="s">
        <v>663</v>
      </c>
    </row>
    <row r="5547" spans="1:4" x14ac:dyDescent="0.25">
      <c r="A5547" s="89" t="s">
        <v>17</v>
      </c>
      <c r="B5547" s="89" t="s">
        <v>616</v>
      </c>
      <c r="C5547" s="89">
        <v>123600</v>
      </c>
      <c r="D5547" s="89" t="s">
        <v>666</v>
      </c>
    </row>
    <row r="5548" spans="1:4" x14ac:dyDescent="0.25">
      <c r="A5548" s="89" t="s">
        <v>17</v>
      </c>
      <c r="B5548" s="89" t="s">
        <v>616</v>
      </c>
      <c r="C5548" s="89">
        <v>50000</v>
      </c>
      <c r="D5548" s="89" t="s">
        <v>666</v>
      </c>
    </row>
    <row r="5549" spans="1:4" x14ac:dyDescent="0.25">
      <c r="A5549" s="89" t="s">
        <v>17</v>
      </c>
      <c r="B5549" s="89" t="s">
        <v>616</v>
      </c>
      <c r="C5549" s="89">
        <v>122828.43</v>
      </c>
      <c r="D5549" s="89" t="s">
        <v>663</v>
      </c>
    </row>
    <row r="5550" spans="1:4" x14ac:dyDescent="0.25">
      <c r="A5550" s="89" t="s">
        <v>17</v>
      </c>
      <c r="B5550" s="89" t="s">
        <v>616</v>
      </c>
      <c r="C5550" s="89">
        <v>55681.95</v>
      </c>
      <c r="D5550" s="89" t="s">
        <v>663</v>
      </c>
    </row>
    <row r="5551" spans="1:4" x14ac:dyDescent="0.25">
      <c r="A5551" s="89" t="s">
        <v>17</v>
      </c>
      <c r="B5551" s="89" t="s">
        <v>616</v>
      </c>
      <c r="C5551" s="89">
        <v>50000</v>
      </c>
      <c r="D5551" s="89" t="s">
        <v>666</v>
      </c>
    </row>
    <row r="5552" spans="1:4" x14ac:dyDescent="0.25">
      <c r="A5552" s="89" t="s">
        <v>17</v>
      </c>
      <c r="B5552" s="89" t="s">
        <v>616</v>
      </c>
      <c r="C5552" s="89">
        <v>201368.64</v>
      </c>
      <c r="D5552" s="89" t="s">
        <v>663</v>
      </c>
    </row>
    <row r="5553" spans="1:4" x14ac:dyDescent="0.25">
      <c r="A5553" s="89" t="s">
        <v>17</v>
      </c>
      <c r="B5553" s="89" t="s">
        <v>616</v>
      </c>
      <c r="C5553" s="89">
        <v>575231</v>
      </c>
      <c r="D5553" s="89" t="s">
        <v>663</v>
      </c>
    </row>
    <row r="5554" spans="1:4" x14ac:dyDescent="0.25">
      <c r="A5554" s="89" t="s">
        <v>17</v>
      </c>
      <c r="B5554" s="89" t="s">
        <v>616</v>
      </c>
      <c r="C5554" s="89">
        <v>778574</v>
      </c>
      <c r="D5554" s="89" t="s">
        <v>666</v>
      </c>
    </row>
    <row r="5555" spans="1:4" x14ac:dyDescent="0.25">
      <c r="A5555" s="89" t="s">
        <v>17</v>
      </c>
      <c r="B5555" s="89" t="s">
        <v>616</v>
      </c>
      <c r="C5555" s="89">
        <v>637938</v>
      </c>
      <c r="D5555" s="89" t="s">
        <v>664</v>
      </c>
    </row>
    <row r="5556" spans="1:4" x14ac:dyDescent="0.25">
      <c r="A5556" s="89" t="s">
        <v>70</v>
      </c>
      <c r="B5556" s="89" t="s">
        <v>617</v>
      </c>
      <c r="C5556" s="89">
        <v>3656862</v>
      </c>
      <c r="D5556" s="89" t="s">
        <v>664</v>
      </c>
    </row>
    <row r="5557" spans="1:4" x14ac:dyDescent="0.25">
      <c r="A5557" s="89" t="s">
        <v>70</v>
      </c>
      <c r="B5557" s="89" t="s">
        <v>617</v>
      </c>
      <c r="C5557" s="89">
        <v>500000</v>
      </c>
      <c r="D5557" s="89" t="s">
        <v>666</v>
      </c>
    </row>
    <row r="5558" spans="1:4" x14ac:dyDescent="0.25">
      <c r="A5558" s="89" t="s">
        <v>70</v>
      </c>
      <c r="B5558" s="89" t="s">
        <v>617</v>
      </c>
      <c r="C5558" s="89">
        <v>700000</v>
      </c>
      <c r="D5558" s="89" t="s">
        <v>664</v>
      </c>
    </row>
    <row r="5559" spans="1:4" x14ac:dyDescent="0.25">
      <c r="A5559" s="89" t="s">
        <v>70</v>
      </c>
      <c r="B5559" s="89" t="s">
        <v>617</v>
      </c>
      <c r="C5559" s="89">
        <v>518232</v>
      </c>
      <c r="D5559" s="89" t="s">
        <v>666</v>
      </c>
    </row>
    <row r="5560" spans="1:4" x14ac:dyDescent="0.25">
      <c r="A5560" s="89" t="s">
        <v>70</v>
      </c>
      <c r="B5560" s="89" t="s">
        <v>617</v>
      </c>
      <c r="C5560" s="89">
        <v>886489</v>
      </c>
      <c r="D5560" s="89" t="s">
        <v>664</v>
      </c>
    </row>
    <row r="5561" spans="1:4" x14ac:dyDescent="0.25">
      <c r="A5561" s="89" t="s">
        <v>70</v>
      </c>
      <c r="B5561" s="89" t="s">
        <v>617</v>
      </c>
      <c r="C5561" s="89">
        <v>2525834</v>
      </c>
      <c r="D5561" s="89" t="s">
        <v>663</v>
      </c>
    </row>
    <row r="5562" spans="1:4" x14ac:dyDescent="0.25">
      <c r="A5562" s="89" t="s">
        <v>70</v>
      </c>
      <c r="B5562" s="89" t="s">
        <v>617</v>
      </c>
      <c r="C5562" s="89">
        <v>2029564.97</v>
      </c>
      <c r="D5562" s="89" t="s">
        <v>663</v>
      </c>
    </row>
    <row r="5563" spans="1:4" x14ac:dyDescent="0.25">
      <c r="A5563" s="89" t="s">
        <v>70</v>
      </c>
      <c r="B5563" s="89" t="s">
        <v>617</v>
      </c>
      <c r="C5563" s="89">
        <v>1952084</v>
      </c>
      <c r="D5563" s="89" t="s">
        <v>663</v>
      </c>
    </row>
    <row r="5564" spans="1:4" x14ac:dyDescent="0.25">
      <c r="A5564" s="89" t="s">
        <v>70</v>
      </c>
      <c r="B5564" s="89" t="s">
        <v>617</v>
      </c>
      <c r="C5564" s="89">
        <v>595546.24</v>
      </c>
      <c r="D5564" s="89" t="s">
        <v>663</v>
      </c>
    </row>
    <row r="5565" spans="1:4" x14ac:dyDescent="0.25">
      <c r="A5565" s="89" t="s">
        <v>70</v>
      </c>
      <c r="B5565" s="89" t="s">
        <v>617</v>
      </c>
      <c r="C5565" s="89">
        <v>1206733</v>
      </c>
      <c r="D5565" s="89" t="s">
        <v>663</v>
      </c>
    </row>
    <row r="5566" spans="1:4" x14ac:dyDescent="0.25">
      <c r="A5566" s="89" t="s">
        <v>70</v>
      </c>
      <c r="B5566" s="89" t="s">
        <v>617</v>
      </c>
      <c r="C5566" s="89">
        <v>1259782</v>
      </c>
      <c r="D5566" s="89" t="s">
        <v>664</v>
      </c>
    </row>
    <row r="5567" spans="1:4" x14ac:dyDescent="0.25">
      <c r="A5567" s="89" t="s">
        <v>70</v>
      </c>
      <c r="B5567" s="89" t="s">
        <v>617</v>
      </c>
      <c r="C5567" s="89">
        <v>801167.24</v>
      </c>
      <c r="D5567" s="89" t="s">
        <v>664</v>
      </c>
    </row>
    <row r="5568" spans="1:4" x14ac:dyDescent="0.25">
      <c r="A5568" s="89" t="s">
        <v>70</v>
      </c>
      <c r="B5568" s="89" t="s">
        <v>617</v>
      </c>
      <c r="C5568" s="89">
        <v>2049904.32</v>
      </c>
      <c r="D5568" s="89" t="s">
        <v>663</v>
      </c>
    </row>
    <row r="5569" spans="1:4" x14ac:dyDescent="0.25">
      <c r="A5569" s="89" t="s">
        <v>70</v>
      </c>
      <c r="B5569" s="89" t="s">
        <v>617</v>
      </c>
      <c r="C5569" s="89">
        <v>300897.32</v>
      </c>
      <c r="D5569" s="89" t="s">
        <v>664</v>
      </c>
    </row>
    <row r="5570" spans="1:4" x14ac:dyDescent="0.25">
      <c r="A5570" s="89" t="s">
        <v>70</v>
      </c>
      <c r="B5570" s="89" t="s">
        <v>617</v>
      </c>
      <c r="C5570" s="89">
        <v>56161.26</v>
      </c>
      <c r="D5570" s="89" t="s">
        <v>666</v>
      </c>
    </row>
    <row r="5571" spans="1:4" x14ac:dyDescent="0.25">
      <c r="A5571" s="89" t="s">
        <v>70</v>
      </c>
      <c r="B5571" s="89" t="s">
        <v>617</v>
      </c>
      <c r="C5571" s="89">
        <v>4947528.1399999997</v>
      </c>
      <c r="D5571" s="89" t="s">
        <v>664</v>
      </c>
    </row>
    <row r="5572" spans="1:4" x14ac:dyDescent="0.25">
      <c r="A5572" s="89" t="s">
        <v>70</v>
      </c>
      <c r="B5572" s="89" t="s">
        <v>617</v>
      </c>
      <c r="C5572" s="89">
        <v>589952.65</v>
      </c>
      <c r="D5572" s="89" t="s">
        <v>664</v>
      </c>
    </row>
    <row r="5573" spans="1:4" x14ac:dyDescent="0.25">
      <c r="A5573" s="89" t="s">
        <v>70</v>
      </c>
      <c r="B5573" s="89" t="s">
        <v>617</v>
      </c>
      <c r="C5573" s="89">
        <v>272715.05</v>
      </c>
      <c r="D5573" s="89" t="s">
        <v>666</v>
      </c>
    </row>
    <row r="5574" spans="1:4" x14ac:dyDescent="0.25">
      <c r="A5574" s="89" t="s">
        <v>70</v>
      </c>
      <c r="B5574" s="89" t="s">
        <v>617</v>
      </c>
      <c r="C5574" s="89">
        <v>3272941.64</v>
      </c>
      <c r="D5574" s="89" t="s">
        <v>663</v>
      </c>
    </row>
    <row r="5575" spans="1:4" x14ac:dyDescent="0.25">
      <c r="A5575" s="89" t="s">
        <v>70</v>
      </c>
      <c r="B5575" s="89" t="s">
        <v>617</v>
      </c>
      <c r="C5575" s="89">
        <v>181904</v>
      </c>
      <c r="D5575" s="89" t="s">
        <v>663</v>
      </c>
    </row>
    <row r="5576" spans="1:4" x14ac:dyDescent="0.25">
      <c r="A5576" s="89" t="s">
        <v>70</v>
      </c>
      <c r="B5576" s="89" t="s">
        <v>617</v>
      </c>
      <c r="C5576" s="89">
        <v>211369</v>
      </c>
      <c r="D5576" s="89" t="s">
        <v>664</v>
      </c>
    </row>
    <row r="5577" spans="1:4" x14ac:dyDescent="0.25">
      <c r="A5577" s="89" t="s">
        <v>70</v>
      </c>
      <c r="B5577" s="89" t="s">
        <v>617</v>
      </c>
      <c r="C5577" s="89">
        <v>185141.71</v>
      </c>
      <c r="D5577" s="89" t="s">
        <v>666</v>
      </c>
    </row>
    <row r="5578" spans="1:4" x14ac:dyDescent="0.25">
      <c r="A5578" s="89" t="s">
        <v>70</v>
      </c>
      <c r="B5578" s="89" t="s">
        <v>617</v>
      </c>
      <c r="C5578" s="89">
        <v>730600</v>
      </c>
      <c r="D5578" s="89" t="s">
        <v>664</v>
      </c>
    </row>
    <row r="5579" spans="1:4" x14ac:dyDescent="0.25">
      <c r="A5579" s="89" t="s">
        <v>70</v>
      </c>
      <c r="B5579" s="89" t="s">
        <v>617</v>
      </c>
      <c r="C5579" s="89">
        <v>418213.6</v>
      </c>
      <c r="D5579" s="89" t="s">
        <v>664</v>
      </c>
    </row>
    <row r="5580" spans="1:4" x14ac:dyDescent="0.25">
      <c r="A5580" s="89" t="s">
        <v>70</v>
      </c>
      <c r="B5580" s="89" t="s">
        <v>617</v>
      </c>
      <c r="C5580" s="89">
        <v>2883854.42</v>
      </c>
      <c r="D5580" s="89" t="s">
        <v>663</v>
      </c>
    </row>
    <row r="5581" spans="1:4" x14ac:dyDescent="0.25">
      <c r="A5581" s="89" t="s">
        <v>70</v>
      </c>
      <c r="B5581" s="89" t="s">
        <v>617</v>
      </c>
      <c r="C5581" s="89">
        <v>6419307.7000000002</v>
      </c>
      <c r="D5581" s="89" t="s">
        <v>663</v>
      </c>
    </row>
    <row r="5582" spans="1:4" x14ac:dyDescent="0.25">
      <c r="A5582" s="89" t="s">
        <v>70</v>
      </c>
      <c r="B5582" s="89" t="s">
        <v>617</v>
      </c>
      <c r="C5582" s="89">
        <v>1575147.2</v>
      </c>
      <c r="D5582" s="89" t="s">
        <v>664</v>
      </c>
    </row>
    <row r="5583" spans="1:4" x14ac:dyDescent="0.25">
      <c r="A5583" s="89" t="s">
        <v>70</v>
      </c>
      <c r="B5583" s="89" t="s">
        <v>617</v>
      </c>
      <c r="C5583" s="89">
        <v>562152.34</v>
      </c>
      <c r="D5583" s="89" t="s">
        <v>666</v>
      </c>
    </row>
    <row r="5584" spans="1:4" x14ac:dyDescent="0.25">
      <c r="A5584" s="89" t="s">
        <v>70</v>
      </c>
      <c r="B5584" s="89" t="s">
        <v>617</v>
      </c>
      <c r="C5584" s="89">
        <v>399838.83</v>
      </c>
      <c r="D5584" s="89" t="s">
        <v>664</v>
      </c>
    </row>
    <row r="5585" spans="1:4" x14ac:dyDescent="0.25">
      <c r="A5585" s="89" t="s">
        <v>70</v>
      </c>
      <c r="B5585" s="89" t="s">
        <v>617</v>
      </c>
      <c r="C5585" s="89">
        <v>2172295.2799999998</v>
      </c>
      <c r="D5585" s="89" t="s">
        <v>664</v>
      </c>
    </row>
    <row r="5586" spans="1:4" x14ac:dyDescent="0.25">
      <c r="A5586" s="89" t="s">
        <v>70</v>
      </c>
      <c r="B5586" s="89" t="s">
        <v>617</v>
      </c>
      <c r="C5586" s="89">
        <v>216047.92</v>
      </c>
      <c r="D5586" s="89" t="s">
        <v>663</v>
      </c>
    </row>
    <row r="5587" spans="1:4" x14ac:dyDescent="0.25">
      <c r="A5587" s="89" t="s">
        <v>70</v>
      </c>
      <c r="B5587" s="89" t="s">
        <v>617</v>
      </c>
      <c r="C5587" s="89">
        <v>148417.29</v>
      </c>
      <c r="D5587" s="89" t="s">
        <v>664</v>
      </c>
    </row>
    <row r="5588" spans="1:4" x14ac:dyDescent="0.25">
      <c r="A5588" s="89" t="s">
        <v>70</v>
      </c>
      <c r="B5588" s="89" t="s">
        <v>617</v>
      </c>
      <c r="C5588" s="89">
        <v>2026597.44</v>
      </c>
      <c r="D5588" s="89" t="s">
        <v>663</v>
      </c>
    </row>
    <row r="5589" spans="1:4" x14ac:dyDescent="0.25">
      <c r="A5589" s="89" t="s">
        <v>70</v>
      </c>
      <c r="B5589" s="89" t="s">
        <v>617</v>
      </c>
      <c r="C5589" s="89">
        <v>1083185.8899999999</v>
      </c>
      <c r="D5589" s="89" t="s">
        <v>664</v>
      </c>
    </row>
    <row r="5590" spans="1:4" x14ac:dyDescent="0.25">
      <c r="A5590" s="89" t="s">
        <v>70</v>
      </c>
      <c r="B5590" s="89" t="s">
        <v>617</v>
      </c>
      <c r="C5590" s="89">
        <v>210083</v>
      </c>
      <c r="D5590" s="89" t="s">
        <v>663</v>
      </c>
    </row>
    <row r="5591" spans="1:4" x14ac:dyDescent="0.25">
      <c r="A5591" s="89" t="s">
        <v>70</v>
      </c>
      <c r="B5591" s="89" t="s">
        <v>617</v>
      </c>
      <c r="C5591" s="89">
        <v>676065</v>
      </c>
      <c r="D5591" s="89" t="s">
        <v>664</v>
      </c>
    </row>
    <row r="5592" spans="1:4" x14ac:dyDescent="0.25">
      <c r="A5592" s="89" t="s">
        <v>70</v>
      </c>
      <c r="B5592" s="89" t="s">
        <v>617</v>
      </c>
      <c r="C5592" s="89">
        <v>235026.73</v>
      </c>
      <c r="D5592" s="89" t="s">
        <v>664</v>
      </c>
    </row>
    <row r="5593" spans="1:4" x14ac:dyDescent="0.25">
      <c r="A5593" s="89" t="s">
        <v>70</v>
      </c>
      <c r="B5593" s="89" t="s">
        <v>617</v>
      </c>
      <c r="C5593" s="89">
        <v>588071.39</v>
      </c>
      <c r="D5593" s="89" t="s">
        <v>666</v>
      </c>
    </row>
    <row r="5594" spans="1:4" x14ac:dyDescent="0.25">
      <c r="A5594" s="89" t="s">
        <v>70</v>
      </c>
      <c r="B5594" s="89" t="s">
        <v>617</v>
      </c>
      <c r="C5594" s="89">
        <v>1948287</v>
      </c>
      <c r="D5594" s="89" t="s">
        <v>663</v>
      </c>
    </row>
    <row r="5595" spans="1:4" x14ac:dyDescent="0.25">
      <c r="A5595" s="89" t="s">
        <v>70</v>
      </c>
      <c r="B5595" s="89" t="s">
        <v>617</v>
      </c>
      <c r="C5595" s="89">
        <v>2500000</v>
      </c>
      <c r="D5595" s="89" t="s">
        <v>663</v>
      </c>
    </row>
    <row r="5596" spans="1:4" x14ac:dyDescent="0.25">
      <c r="A5596" s="89" t="s">
        <v>70</v>
      </c>
      <c r="B5596" s="89" t="s">
        <v>617</v>
      </c>
      <c r="C5596" s="89">
        <v>3537177</v>
      </c>
      <c r="D5596" s="89" t="s">
        <v>663</v>
      </c>
    </row>
    <row r="5597" spans="1:4" x14ac:dyDescent="0.25">
      <c r="A5597" s="89" t="s">
        <v>70</v>
      </c>
      <c r="B5597" s="89" t="s">
        <v>617</v>
      </c>
      <c r="C5597" s="89">
        <v>450816.49</v>
      </c>
      <c r="D5597" s="89" t="s">
        <v>666</v>
      </c>
    </row>
    <row r="5598" spans="1:4" x14ac:dyDescent="0.25">
      <c r="A5598" s="89" t="s">
        <v>70</v>
      </c>
      <c r="B5598" s="89" t="s">
        <v>617</v>
      </c>
      <c r="C5598" s="89">
        <v>633065</v>
      </c>
      <c r="D5598" s="89" t="s">
        <v>664</v>
      </c>
    </row>
    <row r="5599" spans="1:4" x14ac:dyDescent="0.25">
      <c r="A5599" s="89" t="s">
        <v>70</v>
      </c>
      <c r="B5599" s="89" t="s">
        <v>617</v>
      </c>
      <c r="C5599" s="89">
        <v>3500942</v>
      </c>
      <c r="D5599" s="89" t="s">
        <v>663</v>
      </c>
    </row>
    <row r="5600" spans="1:4" x14ac:dyDescent="0.25">
      <c r="A5600" s="89" t="s">
        <v>70</v>
      </c>
      <c r="B5600" s="89" t="s">
        <v>617</v>
      </c>
      <c r="C5600" s="89">
        <v>1701671</v>
      </c>
      <c r="D5600" s="89" t="s">
        <v>663</v>
      </c>
    </row>
    <row r="5601" spans="1:4" x14ac:dyDescent="0.25">
      <c r="A5601" s="89" t="s">
        <v>70</v>
      </c>
      <c r="B5601" s="89" t="s">
        <v>617</v>
      </c>
      <c r="C5601" s="89">
        <v>918543.35999999999</v>
      </c>
      <c r="D5601" s="89" t="s">
        <v>663</v>
      </c>
    </row>
    <row r="5602" spans="1:4" x14ac:dyDescent="0.25">
      <c r="A5602" s="89" t="s">
        <v>70</v>
      </c>
      <c r="B5602" s="89" t="s">
        <v>617</v>
      </c>
      <c r="C5602" s="89">
        <v>83755.7</v>
      </c>
      <c r="D5602" s="89" t="s">
        <v>666</v>
      </c>
    </row>
    <row r="5603" spans="1:4" x14ac:dyDescent="0.25">
      <c r="A5603" s="89" t="s">
        <v>70</v>
      </c>
      <c r="B5603" s="89" t="s">
        <v>617</v>
      </c>
      <c r="C5603" s="89">
        <v>125724.05</v>
      </c>
      <c r="D5603" s="89" t="s">
        <v>664</v>
      </c>
    </row>
    <row r="5604" spans="1:4" x14ac:dyDescent="0.25">
      <c r="A5604" s="89" t="s">
        <v>70</v>
      </c>
      <c r="B5604" s="89" t="s">
        <v>617</v>
      </c>
      <c r="C5604" s="89">
        <v>2925797.58</v>
      </c>
      <c r="D5604" s="89" t="s">
        <v>663</v>
      </c>
    </row>
    <row r="5605" spans="1:4" x14ac:dyDescent="0.25">
      <c r="A5605" s="89" t="s">
        <v>70</v>
      </c>
      <c r="B5605" s="89" t="s">
        <v>617</v>
      </c>
      <c r="C5605" s="89">
        <v>3616885.13</v>
      </c>
      <c r="D5605" s="89" t="s">
        <v>664</v>
      </c>
    </row>
    <row r="5606" spans="1:4" x14ac:dyDescent="0.25">
      <c r="A5606" s="89" t="s">
        <v>70</v>
      </c>
      <c r="B5606" s="89" t="s">
        <v>617</v>
      </c>
      <c r="C5606" s="89">
        <v>1235817.79</v>
      </c>
      <c r="D5606" s="89" t="s">
        <v>666</v>
      </c>
    </row>
    <row r="5607" spans="1:4" x14ac:dyDescent="0.25">
      <c r="A5607" s="89" t="s">
        <v>70</v>
      </c>
      <c r="B5607" s="89" t="s">
        <v>617</v>
      </c>
      <c r="C5607" s="89">
        <v>527293.4</v>
      </c>
      <c r="D5607" s="89" t="s">
        <v>664</v>
      </c>
    </row>
    <row r="5608" spans="1:4" x14ac:dyDescent="0.25">
      <c r="A5608" s="89" t="s">
        <v>70</v>
      </c>
      <c r="B5608" s="89" t="s">
        <v>617</v>
      </c>
      <c r="C5608" s="89">
        <v>897308</v>
      </c>
      <c r="D5608" s="89" t="s">
        <v>664</v>
      </c>
    </row>
    <row r="5609" spans="1:4" x14ac:dyDescent="0.25">
      <c r="A5609" s="89" t="s">
        <v>70</v>
      </c>
      <c r="B5609" s="89" t="s">
        <v>617</v>
      </c>
      <c r="C5609" s="89">
        <v>1595801.53</v>
      </c>
      <c r="D5609" s="89" t="s">
        <v>664</v>
      </c>
    </row>
    <row r="5610" spans="1:4" x14ac:dyDescent="0.25">
      <c r="A5610" s="89" t="s">
        <v>70</v>
      </c>
      <c r="B5610" s="89" t="s">
        <v>617</v>
      </c>
      <c r="C5610" s="89">
        <v>1592031</v>
      </c>
      <c r="D5610" s="89" t="s">
        <v>663</v>
      </c>
    </row>
    <row r="5611" spans="1:4" x14ac:dyDescent="0.25">
      <c r="A5611" s="89" t="s">
        <v>70</v>
      </c>
      <c r="B5611" s="89" t="s">
        <v>617</v>
      </c>
      <c r="C5611" s="89">
        <v>386595.2</v>
      </c>
      <c r="D5611" s="89" t="s">
        <v>663</v>
      </c>
    </row>
    <row r="5612" spans="1:4" x14ac:dyDescent="0.25">
      <c r="A5612" s="89" t="s">
        <v>70</v>
      </c>
      <c r="B5612" s="89" t="s">
        <v>617</v>
      </c>
      <c r="C5612" s="89">
        <v>563319.25</v>
      </c>
      <c r="D5612" s="89" t="s">
        <v>664</v>
      </c>
    </row>
    <row r="5613" spans="1:4" x14ac:dyDescent="0.25">
      <c r="A5613" s="89" t="s">
        <v>70</v>
      </c>
      <c r="B5613" s="89" t="s">
        <v>617</v>
      </c>
      <c r="C5613" s="89">
        <v>352312.69</v>
      </c>
      <c r="D5613" s="89" t="s">
        <v>666</v>
      </c>
    </row>
    <row r="5614" spans="1:4" x14ac:dyDescent="0.25">
      <c r="A5614" s="89" t="s">
        <v>70</v>
      </c>
      <c r="B5614" s="89" t="s">
        <v>617</v>
      </c>
      <c r="C5614" s="89">
        <v>13302938.91</v>
      </c>
      <c r="D5614" s="89" t="s">
        <v>664</v>
      </c>
    </row>
    <row r="5615" spans="1:4" x14ac:dyDescent="0.25">
      <c r="A5615" s="89" t="s">
        <v>70</v>
      </c>
      <c r="B5615" s="89" t="s">
        <v>617</v>
      </c>
      <c r="C5615" s="89">
        <v>615805.01</v>
      </c>
      <c r="D5615" s="89" t="s">
        <v>664</v>
      </c>
    </row>
    <row r="5616" spans="1:4" x14ac:dyDescent="0.25">
      <c r="A5616" s="89" t="s">
        <v>70</v>
      </c>
      <c r="B5616" s="89" t="s">
        <v>617</v>
      </c>
      <c r="C5616" s="89">
        <v>249084</v>
      </c>
      <c r="D5616" s="89" t="s">
        <v>666</v>
      </c>
    </row>
    <row r="5617" spans="1:4" x14ac:dyDescent="0.25">
      <c r="A5617" s="89" t="s">
        <v>70</v>
      </c>
      <c r="B5617" s="89" t="s">
        <v>617</v>
      </c>
      <c r="C5617" s="89">
        <v>7334846</v>
      </c>
      <c r="D5617" s="89" t="s">
        <v>663</v>
      </c>
    </row>
    <row r="5618" spans="1:4" x14ac:dyDescent="0.25">
      <c r="A5618" s="89" t="s">
        <v>70</v>
      </c>
      <c r="B5618" s="89" t="s">
        <v>617</v>
      </c>
      <c r="C5618" s="89">
        <v>2662681</v>
      </c>
      <c r="D5618" s="89" t="s">
        <v>663</v>
      </c>
    </row>
    <row r="5619" spans="1:4" x14ac:dyDescent="0.25">
      <c r="A5619" s="89" t="s">
        <v>70</v>
      </c>
      <c r="B5619" s="89" t="s">
        <v>617</v>
      </c>
      <c r="C5619" s="89">
        <v>797328.66</v>
      </c>
      <c r="D5619" s="89" t="s">
        <v>663</v>
      </c>
    </row>
    <row r="5620" spans="1:4" x14ac:dyDescent="0.25">
      <c r="A5620" s="89" t="s">
        <v>70</v>
      </c>
      <c r="B5620" s="89" t="s">
        <v>617</v>
      </c>
      <c r="C5620" s="89">
        <v>114556.96</v>
      </c>
      <c r="D5620" s="89" t="s">
        <v>666</v>
      </c>
    </row>
    <row r="5621" spans="1:4" x14ac:dyDescent="0.25">
      <c r="A5621" s="89" t="s">
        <v>70</v>
      </c>
      <c r="B5621" s="89" t="s">
        <v>617</v>
      </c>
      <c r="C5621" s="89">
        <v>99373.51</v>
      </c>
      <c r="D5621" s="89" t="s">
        <v>663</v>
      </c>
    </row>
    <row r="5622" spans="1:4" x14ac:dyDescent="0.25">
      <c r="A5622" s="89" t="s">
        <v>70</v>
      </c>
      <c r="B5622" s="89" t="s">
        <v>617</v>
      </c>
      <c r="C5622" s="89">
        <v>451788.06</v>
      </c>
      <c r="D5622" s="89" t="s">
        <v>663</v>
      </c>
    </row>
    <row r="5623" spans="1:4" x14ac:dyDescent="0.25">
      <c r="A5623" s="89" t="s">
        <v>70</v>
      </c>
      <c r="B5623" s="89" t="s">
        <v>617</v>
      </c>
      <c r="C5623" s="89">
        <v>4627931.01</v>
      </c>
      <c r="D5623" s="89" t="s">
        <v>663</v>
      </c>
    </row>
    <row r="5624" spans="1:4" x14ac:dyDescent="0.25">
      <c r="A5624" s="89" t="s">
        <v>70</v>
      </c>
      <c r="B5624" s="89" t="s">
        <v>617</v>
      </c>
      <c r="C5624" s="89">
        <v>1979226.17802</v>
      </c>
      <c r="D5624" s="89" t="s">
        <v>664</v>
      </c>
    </row>
    <row r="5625" spans="1:4" x14ac:dyDescent="0.25">
      <c r="A5625" s="89" t="s">
        <v>70</v>
      </c>
      <c r="B5625" s="89" t="s">
        <v>617</v>
      </c>
      <c r="C5625" s="89">
        <v>5960781.5</v>
      </c>
      <c r="D5625" s="89" t="s">
        <v>663</v>
      </c>
    </row>
    <row r="5626" spans="1:4" x14ac:dyDescent="0.25">
      <c r="A5626" s="89" t="s">
        <v>70</v>
      </c>
      <c r="B5626" s="89" t="s">
        <v>617</v>
      </c>
      <c r="C5626" s="89">
        <v>484879.26</v>
      </c>
      <c r="D5626" s="89" t="s">
        <v>666</v>
      </c>
    </row>
    <row r="5627" spans="1:4" x14ac:dyDescent="0.25">
      <c r="A5627" s="89" t="s">
        <v>70</v>
      </c>
      <c r="B5627" s="89" t="s">
        <v>617</v>
      </c>
      <c r="C5627" s="89">
        <v>927580.73</v>
      </c>
      <c r="D5627" s="89" t="s">
        <v>664</v>
      </c>
    </row>
    <row r="5628" spans="1:4" x14ac:dyDescent="0.25">
      <c r="A5628" s="89" t="s">
        <v>70</v>
      </c>
      <c r="B5628" s="89" t="s">
        <v>617</v>
      </c>
      <c r="C5628" s="89">
        <v>419502.52</v>
      </c>
      <c r="D5628" s="89" t="s">
        <v>663</v>
      </c>
    </row>
    <row r="5629" spans="1:4" x14ac:dyDescent="0.25">
      <c r="A5629" s="89" t="s">
        <v>70</v>
      </c>
      <c r="B5629" s="89" t="s">
        <v>617</v>
      </c>
      <c r="C5629" s="89">
        <v>311730.12</v>
      </c>
      <c r="D5629" s="89" t="s">
        <v>666</v>
      </c>
    </row>
    <row r="5630" spans="1:4" x14ac:dyDescent="0.25">
      <c r="A5630" s="89" t="s">
        <v>15</v>
      </c>
      <c r="B5630" s="89" t="s">
        <v>615</v>
      </c>
      <c r="C5630" s="89">
        <v>1044576.14</v>
      </c>
      <c r="D5630" s="89" t="s">
        <v>663</v>
      </c>
    </row>
    <row r="5631" spans="1:4" x14ac:dyDescent="0.25">
      <c r="A5631" s="89" t="s">
        <v>15</v>
      </c>
      <c r="B5631" s="89" t="s">
        <v>615</v>
      </c>
      <c r="C5631" s="89">
        <v>1391551</v>
      </c>
      <c r="D5631" s="89" t="s">
        <v>663</v>
      </c>
    </row>
    <row r="5632" spans="1:4" x14ac:dyDescent="0.25">
      <c r="A5632" s="89" t="s">
        <v>15</v>
      </c>
      <c r="B5632" s="89" t="s">
        <v>615</v>
      </c>
      <c r="C5632" s="89">
        <v>1986686</v>
      </c>
      <c r="D5632" s="89" t="s">
        <v>666</v>
      </c>
    </row>
    <row r="5633" spans="1:4" x14ac:dyDescent="0.25">
      <c r="A5633" s="89" t="s">
        <v>15</v>
      </c>
      <c r="B5633" s="89" t="s">
        <v>615</v>
      </c>
      <c r="C5633" s="89">
        <v>99670</v>
      </c>
      <c r="D5633" s="89" t="s">
        <v>666</v>
      </c>
    </row>
    <row r="5634" spans="1:4" x14ac:dyDescent="0.25">
      <c r="A5634" s="89" t="s">
        <v>15</v>
      </c>
      <c r="B5634" s="89" t="s">
        <v>615</v>
      </c>
      <c r="C5634" s="89">
        <v>1487739.75</v>
      </c>
      <c r="D5634" s="89" t="s">
        <v>663</v>
      </c>
    </row>
    <row r="5635" spans="1:4" x14ac:dyDescent="0.25">
      <c r="A5635" s="89" t="s">
        <v>15</v>
      </c>
      <c r="B5635" s="89" t="s">
        <v>615</v>
      </c>
      <c r="C5635" s="89">
        <v>548214.78</v>
      </c>
      <c r="D5635" s="89" t="s">
        <v>666</v>
      </c>
    </row>
    <row r="5636" spans="1:4" x14ac:dyDescent="0.25">
      <c r="A5636" s="89" t="s">
        <v>15</v>
      </c>
      <c r="B5636" s="89" t="s">
        <v>615</v>
      </c>
      <c r="C5636" s="89">
        <v>377459</v>
      </c>
      <c r="D5636" s="89" t="s">
        <v>663</v>
      </c>
    </row>
    <row r="5637" spans="1:4" x14ac:dyDescent="0.25">
      <c r="A5637" s="89" t="s">
        <v>15</v>
      </c>
      <c r="B5637" s="89" t="s">
        <v>615</v>
      </c>
      <c r="C5637" s="89">
        <v>1443518</v>
      </c>
      <c r="D5637" s="89" t="s">
        <v>663</v>
      </c>
    </row>
    <row r="5638" spans="1:4" x14ac:dyDescent="0.25">
      <c r="A5638" s="89" t="s">
        <v>15</v>
      </c>
      <c r="B5638" s="89" t="s">
        <v>615</v>
      </c>
      <c r="C5638" s="89">
        <v>4786012</v>
      </c>
      <c r="D5638" s="89" t="s">
        <v>663</v>
      </c>
    </row>
    <row r="5639" spans="1:4" x14ac:dyDescent="0.25">
      <c r="A5639" s="89" t="s">
        <v>15</v>
      </c>
      <c r="B5639" s="89" t="s">
        <v>615</v>
      </c>
      <c r="C5639" s="89">
        <v>1801594.19</v>
      </c>
      <c r="D5639" s="89" t="s">
        <v>663</v>
      </c>
    </row>
    <row r="5640" spans="1:4" x14ac:dyDescent="0.25">
      <c r="A5640" s="89" t="s">
        <v>15</v>
      </c>
      <c r="B5640" s="89" t="s">
        <v>615</v>
      </c>
      <c r="C5640" s="89">
        <v>369981.7</v>
      </c>
      <c r="D5640" s="89" t="s">
        <v>666</v>
      </c>
    </row>
    <row r="5641" spans="1:4" x14ac:dyDescent="0.25">
      <c r="A5641" s="89" t="s">
        <v>15</v>
      </c>
      <c r="B5641" s="89" t="s">
        <v>615</v>
      </c>
      <c r="C5641" s="89">
        <v>284997.28000000003</v>
      </c>
      <c r="D5641" s="89" t="s">
        <v>663</v>
      </c>
    </row>
    <row r="5642" spans="1:4" x14ac:dyDescent="0.25">
      <c r="A5642" s="89" t="s">
        <v>15</v>
      </c>
      <c r="B5642" s="89" t="s">
        <v>615</v>
      </c>
      <c r="C5642" s="89">
        <v>310264.59000000003</v>
      </c>
      <c r="D5642" s="89" t="s">
        <v>666</v>
      </c>
    </row>
    <row r="5643" spans="1:4" x14ac:dyDescent="0.25">
      <c r="A5643" s="89" t="s">
        <v>15</v>
      </c>
      <c r="B5643" s="89" t="s">
        <v>615</v>
      </c>
      <c r="C5643" s="89">
        <v>844052</v>
      </c>
      <c r="D5643" s="89" t="s">
        <v>663</v>
      </c>
    </row>
    <row r="5644" spans="1:4" x14ac:dyDescent="0.25">
      <c r="A5644" s="89" t="s">
        <v>122</v>
      </c>
      <c r="B5644" s="89" t="s">
        <v>615</v>
      </c>
      <c r="C5644" s="89">
        <v>591634</v>
      </c>
      <c r="D5644" s="89" t="s">
        <v>663</v>
      </c>
    </row>
    <row r="5645" spans="1:4" x14ac:dyDescent="0.25">
      <c r="A5645" s="89" t="s">
        <v>122</v>
      </c>
      <c r="B5645" s="89" t="s">
        <v>615</v>
      </c>
      <c r="C5645" s="89">
        <v>-436909.38</v>
      </c>
      <c r="D5645" s="89" t="s">
        <v>663</v>
      </c>
    </row>
    <row r="5646" spans="1:4" x14ac:dyDescent="0.25">
      <c r="A5646" s="89" t="s">
        <v>122</v>
      </c>
      <c r="B5646" s="89" t="s">
        <v>615</v>
      </c>
      <c r="C5646" s="89">
        <v>141387</v>
      </c>
      <c r="D5646" s="89" t="s">
        <v>663</v>
      </c>
    </row>
    <row r="5647" spans="1:4" x14ac:dyDescent="0.25">
      <c r="A5647" s="89" t="s">
        <v>122</v>
      </c>
      <c r="B5647" s="89" t="s">
        <v>615</v>
      </c>
      <c r="C5647" s="89">
        <v>338938</v>
      </c>
      <c r="D5647" s="89" t="s">
        <v>663</v>
      </c>
    </row>
    <row r="5648" spans="1:4" x14ac:dyDescent="0.25">
      <c r="A5648" s="89" t="s">
        <v>122</v>
      </c>
      <c r="B5648" s="89" t="s">
        <v>615</v>
      </c>
      <c r="C5648" s="89">
        <v>883833</v>
      </c>
      <c r="D5648" s="89" t="s">
        <v>663</v>
      </c>
    </row>
    <row r="5649" spans="1:4" x14ac:dyDescent="0.25">
      <c r="A5649" s="89" t="s">
        <v>122</v>
      </c>
      <c r="B5649" s="89" t="s">
        <v>615</v>
      </c>
      <c r="C5649" s="89">
        <v>803666</v>
      </c>
      <c r="D5649" s="89" t="s">
        <v>663</v>
      </c>
    </row>
    <row r="5650" spans="1:4" x14ac:dyDescent="0.25">
      <c r="A5650" s="89" t="s">
        <v>122</v>
      </c>
      <c r="B5650" s="89" t="s">
        <v>615</v>
      </c>
      <c r="C5650" s="89">
        <v>293594</v>
      </c>
      <c r="D5650" s="89" t="s">
        <v>663</v>
      </c>
    </row>
    <row r="5651" spans="1:4" x14ac:dyDescent="0.25">
      <c r="A5651" s="89" t="s">
        <v>122</v>
      </c>
      <c r="B5651" s="89" t="s">
        <v>615</v>
      </c>
      <c r="C5651" s="89">
        <v>656620</v>
      </c>
      <c r="D5651" s="89" t="s">
        <v>663</v>
      </c>
    </row>
    <row r="5652" spans="1:4" x14ac:dyDescent="0.25">
      <c r="A5652" s="89" t="s">
        <v>121</v>
      </c>
      <c r="B5652" s="89" t="s">
        <v>616</v>
      </c>
      <c r="C5652" s="89">
        <v>1786321</v>
      </c>
      <c r="D5652" s="89" t="s">
        <v>666</v>
      </c>
    </row>
    <row r="5653" spans="1:4" x14ac:dyDescent="0.25">
      <c r="A5653" s="89" t="s">
        <v>121</v>
      </c>
      <c r="B5653" s="89" t="s">
        <v>616</v>
      </c>
      <c r="C5653" s="89">
        <v>1593661</v>
      </c>
      <c r="D5653" s="89" t="s">
        <v>666</v>
      </c>
    </row>
    <row r="5654" spans="1:4" x14ac:dyDescent="0.25">
      <c r="A5654" s="89" t="s">
        <v>69</v>
      </c>
      <c r="B5654" s="89" t="s">
        <v>617</v>
      </c>
      <c r="C5654" s="89">
        <v>4549361</v>
      </c>
      <c r="D5654" s="89" t="s">
        <v>663</v>
      </c>
    </row>
    <row r="5655" spans="1:4" x14ac:dyDescent="0.25">
      <c r="A5655" s="89" t="s">
        <v>69</v>
      </c>
      <c r="B5655" s="89" t="s">
        <v>617</v>
      </c>
      <c r="C5655" s="89">
        <v>3242129</v>
      </c>
      <c r="D5655" s="89" t="s">
        <v>664</v>
      </c>
    </row>
    <row r="5656" spans="1:4" x14ac:dyDescent="0.25">
      <c r="A5656" s="89" t="s">
        <v>69</v>
      </c>
      <c r="B5656" s="89" t="s">
        <v>617</v>
      </c>
      <c r="C5656" s="89">
        <v>7496382</v>
      </c>
      <c r="D5656" s="89" t="s">
        <v>663</v>
      </c>
    </row>
    <row r="5657" spans="1:4" x14ac:dyDescent="0.25">
      <c r="A5657" s="89" t="s">
        <v>69</v>
      </c>
      <c r="B5657" s="89" t="s">
        <v>617</v>
      </c>
      <c r="C5657" s="89">
        <v>2750000</v>
      </c>
      <c r="D5657" s="89" t="s">
        <v>664</v>
      </c>
    </row>
    <row r="5658" spans="1:4" x14ac:dyDescent="0.25">
      <c r="A5658" s="89" t="s">
        <v>69</v>
      </c>
      <c r="B5658" s="89" t="s">
        <v>617</v>
      </c>
      <c r="C5658" s="89">
        <v>28399704</v>
      </c>
      <c r="D5658" s="89" t="s">
        <v>664</v>
      </c>
    </row>
    <row r="5659" spans="1:4" x14ac:dyDescent="0.25">
      <c r="A5659" s="89" t="s">
        <v>69</v>
      </c>
      <c r="B5659" s="89" t="s">
        <v>617</v>
      </c>
      <c r="C5659" s="89">
        <v>13298363</v>
      </c>
      <c r="D5659" s="89" t="s">
        <v>663</v>
      </c>
    </row>
    <row r="5660" spans="1:4" x14ac:dyDescent="0.25">
      <c r="A5660" s="89" t="s">
        <v>69</v>
      </c>
      <c r="B5660" s="89" t="s">
        <v>617</v>
      </c>
      <c r="C5660" s="89">
        <v>3858041</v>
      </c>
      <c r="D5660" s="89" t="s">
        <v>664</v>
      </c>
    </row>
    <row r="5661" spans="1:4" x14ac:dyDescent="0.25">
      <c r="A5661" s="89" t="s">
        <v>69</v>
      </c>
      <c r="B5661" s="89" t="s">
        <v>617</v>
      </c>
      <c r="C5661" s="89">
        <v>1177290</v>
      </c>
      <c r="D5661" s="89" t="s">
        <v>666</v>
      </c>
    </row>
    <row r="5662" spans="1:4" x14ac:dyDescent="0.25">
      <c r="A5662" s="89" t="s">
        <v>69</v>
      </c>
      <c r="B5662" s="89" t="s">
        <v>617</v>
      </c>
      <c r="C5662" s="89">
        <v>2570386.7599999998</v>
      </c>
      <c r="D5662" s="89" t="s">
        <v>663</v>
      </c>
    </row>
    <row r="5663" spans="1:4" x14ac:dyDescent="0.25">
      <c r="A5663" s="89" t="s">
        <v>69</v>
      </c>
      <c r="B5663" s="89" t="s">
        <v>617</v>
      </c>
      <c r="C5663" s="89">
        <v>2544479</v>
      </c>
      <c r="D5663" s="89" t="s">
        <v>666</v>
      </c>
    </row>
    <row r="5664" spans="1:4" x14ac:dyDescent="0.25">
      <c r="A5664" s="89" t="s">
        <v>69</v>
      </c>
      <c r="B5664" s="89" t="s">
        <v>617</v>
      </c>
      <c r="C5664" s="89">
        <v>8026135</v>
      </c>
      <c r="D5664" s="89" t="s">
        <v>663</v>
      </c>
    </row>
    <row r="5665" spans="1:4" x14ac:dyDescent="0.25">
      <c r="A5665" s="89" t="s">
        <v>69</v>
      </c>
      <c r="B5665" s="89" t="s">
        <v>617</v>
      </c>
      <c r="C5665" s="89">
        <v>877737</v>
      </c>
      <c r="D5665" s="89" t="s">
        <v>666</v>
      </c>
    </row>
    <row r="5666" spans="1:4" x14ac:dyDescent="0.25">
      <c r="A5666" s="89" t="s">
        <v>69</v>
      </c>
      <c r="B5666" s="89" t="s">
        <v>617</v>
      </c>
      <c r="C5666" s="89">
        <v>2649188</v>
      </c>
      <c r="D5666" s="89" t="s">
        <v>664</v>
      </c>
    </row>
    <row r="5667" spans="1:4" x14ac:dyDescent="0.25">
      <c r="A5667" s="89" t="s">
        <v>69</v>
      </c>
      <c r="B5667" s="89" t="s">
        <v>617</v>
      </c>
      <c r="C5667" s="89">
        <v>899535.35</v>
      </c>
      <c r="D5667" s="89" t="s">
        <v>664</v>
      </c>
    </row>
    <row r="5668" spans="1:4" x14ac:dyDescent="0.25">
      <c r="A5668" s="89" t="s">
        <v>69</v>
      </c>
      <c r="B5668" s="89" t="s">
        <v>617</v>
      </c>
      <c r="C5668" s="89">
        <v>10405888</v>
      </c>
      <c r="D5668" s="89" t="s">
        <v>664</v>
      </c>
    </row>
    <row r="5669" spans="1:4" x14ac:dyDescent="0.25">
      <c r="A5669" s="89" t="s">
        <v>69</v>
      </c>
      <c r="B5669" s="89" t="s">
        <v>617</v>
      </c>
      <c r="C5669" s="89">
        <v>12037912.76</v>
      </c>
      <c r="D5669" s="89" t="s">
        <v>663</v>
      </c>
    </row>
    <row r="5670" spans="1:4" x14ac:dyDescent="0.25">
      <c r="A5670" s="89" t="s">
        <v>69</v>
      </c>
      <c r="B5670" s="89" t="s">
        <v>617</v>
      </c>
      <c r="C5670" s="89">
        <v>4250997</v>
      </c>
      <c r="D5670" s="89" t="s">
        <v>663</v>
      </c>
    </row>
    <row r="5671" spans="1:4" x14ac:dyDescent="0.25">
      <c r="A5671" s="89" t="s">
        <v>69</v>
      </c>
      <c r="B5671" s="89" t="s">
        <v>617</v>
      </c>
      <c r="C5671" s="89">
        <v>1683719.84</v>
      </c>
      <c r="D5671" s="89" t="s">
        <v>666</v>
      </c>
    </row>
    <row r="5672" spans="1:4" x14ac:dyDescent="0.25">
      <c r="A5672" s="89" t="s">
        <v>69</v>
      </c>
      <c r="B5672" s="89" t="s">
        <v>617</v>
      </c>
      <c r="C5672" s="89">
        <v>24781064</v>
      </c>
      <c r="D5672" s="89" t="s">
        <v>664</v>
      </c>
    </row>
    <row r="5673" spans="1:4" x14ac:dyDescent="0.25">
      <c r="A5673" s="89" t="s">
        <v>69</v>
      </c>
      <c r="B5673" s="89" t="s">
        <v>617</v>
      </c>
      <c r="C5673" s="89">
        <v>40985476</v>
      </c>
      <c r="D5673" s="89" t="s">
        <v>664</v>
      </c>
    </row>
    <row r="5674" spans="1:4" x14ac:dyDescent="0.25">
      <c r="A5674" s="89" t="s">
        <v>69</v>
      </c>
      <c r="B5674" s="89" t="s">
        <v>617</v>
      </c>
      <c r="C5674" s="89">
        <v>6297306</v>
      </c>
      <c r="D5674" s="89" t="s">
        <v>664</v>
      </c>
    </row>
    <row r="5675" spans="1:4" x14ac:dyDescent="0.25">
      <c r="A5675" s="89" t="s">
        <v>69</v>
      </c>
      <c r="B5675" s="89" t="s">
        <v>617</v>
      </c>
      <c r="C5675" s="89">
        <v>19902905</v>
      </c>
      <c r="D5675" s="89" t="s">
        <v>663</v>
      </c>
    </row>
    <row r="5676" spans="1:4" x14ac:dyDescent="0.25">
      <c r="A5676" s="89" t="s">
        <v>69</v>
      </c>
      <c r="B5676" s="89" t="s">
        <v>617</v>
      </c>
      <c r="C5676" s="89">
        <v>653630</v>
      </c>
      <c r="D5676" s="89" t="s">
        <v>666</v>
      </c>
    </row>
    <row r="5677" spans="1:4" x14ac:dyDescent="0.25">
      <c r="A5677" s="89" t="s">
        <v>69</v>
      </c>
      <c r="B5677" s="89" t="s">
        <v>617</v>
      </c>
      <c r="C5677" s="89">
        <v>100000</v>
      </c>
      <c r="D5677" s="89" t="s">
        <v>666</v>
      </c>
    </row>
    <row r="5678" spans="1:4" x14ac:dyDescent="0.25">
      <c r="A5678" s="89" t="s">
        <v>69</v>
      </c>
      <c r="B5678" s="89" t="s">
        <v>617</v>
      </c>
      <c r="C5678" s="89">
        <v>16410071</v>
      </c>
      <c r="D5678" s="89" t="s">
        <v>664</v>
      </c>
    </row>
    <row r="5679" spans="1:4" x14ac:dyDescent="0.25">
      <c r="A5679" s="89" t="s">
        <v>69</v>
      </c>
      <c r="B5679" s="89" t="s">
        <v>617</v>
      </c>
      <c r="C5679" s="89">
        <v>287029</v>
      </c>
      <c r="D5679" s="89" t="s">
        <v>663</v>
      </c>
    </row>
    <row r="5680" spans="1:4" x14ac:dyDescent="0.25">
      <c r="A5680" s="89" t="s">
        <v>69</v>
      </c>
      <c r="B5680" s="89" t="s">
        <v>617</v>
      </c>
      <c r="C5680" s="89">
        <v>6335768</v>
      </c>
      <c r="D5680" s="89" t="s">
        <v>664</v>
      </c>
    </row>
    <row r="5681" spans="1:4" x14ac:dyDescent="0.25">
      <c r="A5681" s="89" t="s">
        <v>69</v>
      </c>
      <c r="B5681" s="89" t="s">
        <v>617</v>
      </c>
      <c r="C5681" s="89">
        <v>901385</v>
      </c>
      <c r="D5681" s="89" t="s">
        <v>666</v>
      </c>
    </row>
    <row r="5682" spans="1:4" x14ac:dyDescent="0.25">
      <c r="A5682" s="89" t="s">
        <v>69</v>
      </c>
      <c r="B5682" s="89" t="s">
        <v>617</v>
      </c>
      <c r="C5682" s="89">
        <v>5175831</v>
      </c>
      <c r="D5682" s="89" t="s">
        <v>664</v>
      </c>
    </row>
    <row r="5683" spans="1:4" x14ac:dyDescent="0.25">
      <c r="A5683" s="89" t="s">
        <v>69</v>
      </c>
      <c r="B5683" s="89" t="s">
        <v>617</v>
      </c>
      <c r="C5683" s="89">
        <v>15477272.67</v>
      </c>
      <c r="D5683" s="89" t="s">
        <v>663</v>
      </c>
    </row>
    <row r="5684" spans="1:4" x14ac:dyDescent="0.25">
      <c r="A5684" s="89" t="s">
        <v>69</v>
      </c>
      <c r="B5684" s="89" t="s">
        <v>617</v>
      </c>
      <c r="C5684" s="89">
        <v>2713900.46</v>
      </c>
      <c r="D5684" s="89" t="s">
        <v>663</v>
      </c>
    </row>
    <row r="5685" spans="1:4" x14ac:dyDescent="0.25">
      <c r="A5685" s="89" t="s">
        <v>69</v>
      </c>
      <c r="B5685" s="89" t="s">
        <v>617</v>
      </c>
      <c r="C5685" s="89">
        <v>6066236.2199999997</v>
      </c>
      <c r="D5685" s="89" t="s">
        <v>663</v>
      </c>
    </row>
    <row r="5686" spans="1:4" x14ac:dyDescent="0.25">
      <c r="A5686" s="89" t="s">
        <v>69</v>
      </c>
      <c r="B5686" s="89" t="s">
        <v>617</v>
      </c>
      <c r="C5686" s="89">
        <v>161250</v>
      </c>
      <c r="D5686" s="89" t="s">
        <v>666</v>
      </c>
    </row>
    <row r="5687" spans="1:4" x14ac:dyDescent="0.25">
      <c r="A5687" s="89" t="s">
        <v>69</v>
      </c>
      <c r="B5687" s="89" t="s">
        <v>617</v>
      </c>
      <c r="C5687" s="89">
        <v>925756.16</v>
      </c>
      <c r="D5687" s="89" t="s">
        <v>666</v>
      </c>
    </row>
    <row r="5688" spans="1:4" x14ac:dyDescent="0.25">
      <c r="A5688" s="89" t="s">
        <v>69</v>
      </c>
      <c r="B5688" s="89" t="s">
        <v>617</v>
      </c>
      <c r="C5688" s="89">
        <v>4391196</v>
      </c>
      <c r="D5688" s="89" t="s">
        <v>663</v>
      </c>
    </row>
    <row r="5689" spans="1:4" x14ac:dyDescent="0.25">
      <c r="A5689" s="89" t="s">
        <v>11</v>
      </c>
      <c r="B5689" s="89" t="s">
        <v>616</v>
      </c>
      <c r="C5689" s="89">
        <v>5359598.9800000004</v>
      </c>
      <c r="D5689" s="89" t="s">
        <v>663</v>
      </c>
    </row>
    <row r="5690" spans="1:4" x14ac:dyDescent="0.25">
      <c r="A5690" s="89" t="s">
        <v>11</v>
      </c>
      <c r="B5690" s="89" t="s">
        <v>616</v>
      </c>
      <c r="C5690" s="89">
        <v>3720003</v>
      </c>
      <c r="D5690" s="89" t="s">
        <v>663</v>
      </c>
    </row>
    <row r="5691" spans="1:4" x14ac:dyDescent="0.25">
      <c r="A5691" s="89" t="s">
        <v>11</v>
      </c>
      <c r="B5691" s="89" t="s">
        <v>616</v>
      </c>
      <c r="C5691" s="89">
        <v>4877766</v>
      </c>
      <c r="D5691" s="89" t="s">
        <v>663</v>
      </c>
    </row>
    <row r="5692" spans="1:4" x14ac:dyDescent="0.25">
      <c r="A5692" s="89" t="s">
        <v>11</v>
      </c>
      <c r="B5692" s="89" t="s">
        <v>616</v>
      </c>
      <c r="C5692" s="89">
        <v>-9576.73</v>
      </c>
      <c r="D5692" s="89" t="s">
        <v>663</v>
      </c>
    </row>
    <row r="5693" spans="1:4" x14ac:dyDescent="0.25">
      <c r="A5693" s="89" t="s">
        <v>11</v>
      </c>
      <c r="B5693" s="89" t="s">
        <v>616</v>
      </c>
      <c r="C5693" s="89">
        <v>7119482.1399999997</v>
      </c>
      <c r="D5693" s="89" t="s">
        <v>663</v>
      </c>
    </row>
    <row r="5694" spans="1:4" x14ac:dyDescent="0.25">
      <c r="A5694" s="89" t="s">
        <v>11</v>
      </c>
      <c r="B5694" s="89" t="s">
        <v>616</v>
      </c>
      <c r="C5694" s="89">
        <v>-6011380.0700000003</v>
      </c>
      <c r="D5694" s="89" t="s">
        <v>663</v>
      </c>
    </row>
    <row r="5695" spans="1:4" x14ac:dyDescent="0.25">
      <c r="A5695" s="89" t="s">
        <v>11</v>
      </c>
      <c r="B5695" s="89" t="s">
        <v>616</v>
      </c>
      <c r="C5695" s="89">
        <v>-251426.45</v>
      </c>
      <c r="D5695" s="89" t="s">
        <v>663</v>
      </c>
    </row>
    <row r="5696" spans="1:4" x14ac:dyDescent="0.25">
      <c r="A5696" s="89" t="s">
        <v>11</v>
      </c>
      <c r="B5696" s="89" t="s">
        <v>616</v>
      </c>
      <c r="C5696" s="89">
        <v>300000</v>
      </c>
      <c r="D5696" s="89" t="s">
        <v>663</v>
      </c>
    </row>
    <row r="5697" spans="1:4" x14ac:dyDescent="0.25">
      <c r="A5697" s="89" t="s">
        <v>11</v>
      </c>
      <c r="B5697" s="89" t="s">
        <v>616</v>
      </c>
      <c r="C5697" s="89">
        <v>1793283</v>
      </c>
      <c r="D5697" s="89" t="s">
        <v>663</v>
      </c>
    </row>
    <row r="5698" spans="1:4" x14ac:dyDescent="0.25">
      <c r="A5698" s="89" t="s">
        <v>11</v>
      </c>
      <c r="B5698" s="89" t="s">
        <v>616</v>
      </c>
      <c r="C5698" s="89">
        <v>7522345.1500000004</v>
      </c>
      <c r="D5698" s="89" t="s">
        <v>663</v>
      </c>
    </row>
    <row r="5699" spans="1:4" x14ac:dyDescent="0.25">
      <c r="A5699" s="89" t="s">
        <v>11</v>
      </c>
      <c r="B5699" s="89" t="s">
        <v>616</v>
      </c>
      <c r="C5699" s="89">
        <v>4061945.9</v>
      </c>
      <c r="D5699" s="89" t="s">
        <v>663</v>
      </c>
    </row>
    <row r="5700" spans="1:4" x14ac:dyDescent="0.25">
      <c r="A5700" s="89" t="s">
        <v>11</v>
      </c>
      <c r="B5700" s="89" t="s">
        <v>616</v>
      </c>
      <c r="C5700" s="89">
        <v>3712781.7882520002</v>
      </c>
      <c r="D5700" s="89" t="s">
        <v>663</v>
      </c>
    </row>
    <row r="5701" spans="1:4" x14ac:dyDescent="0.25">
      <c r="A5701" s="89" t="s">
        <v>11</v>
      </c>
      <c r="B5701" s="89" t="s">
        <v>616</v>
      </c>
      <c r="C5701" s="89">
        <v>8296528</v>
      </c>
      <c r="D5701" s="89" t="s">
        <v>663</v>
      </c>
    </row>
    <row r="5702" spans="1:4" x14ac:dyDescent="0.25">
      <c r="A5702" s="89" t="s">
        <v>11</v>
      </c>
      <c r="B5702" s="89" t="s">
        <v>616</v>
      </c>
      <c r="C5702" s="89">
        <v>442095.6</v>
      </c>
      <c r="D5702" s="89" t="s">
        <v>663</v>
      </c>
    </row>
    <row r="5703" spans="1:4" x14ac:dyDescent="0.25">
      <c r="A5703" s="89" t="s">
        <v>11</v>
      </c>
      <c r="B5703" s="89" t="s">
        <v>616</v>
      </c>
      <c r="C5703" s="89">
        <v>6904898</v>
      </c>
      <c r="D5703" s="89" t="s">
        <v>663</v>
      </c>
    </row>
    <row r="5704" spans="1:4" x14ac:dyDescent="0.25">
      <c r="A5704" s="89" t="s">
        <v>11</v>
      </c>
      <c r="B5704" s="89" t="s">
        <v>616</v>
      </c>
      <c r="C5704" s="89">
        <v>7457432</v>
      </c>
      <c r="D5704" s="89" t="s">
        <v>663</v>
      </c>
    </row>
    <row r="5705" spans="1:4" x14ac:dyDescent="0.25">
      <c r="A5705" s="89" t="s">
        <v>11</v>
      </c>
      <c r="B5705" s="89" t="s">
        <v>616</v>
      </c>
      <c r="C5705" s="89">
        <v>1868235</v>
      </c>
      <c r="D5705" s="89" t="s">
        <v>663</v>
      </c>
    </row>
    <row r="5706" spans="1:4" x14ac:dyDescent="0.25">
      <c r="A5706" s="89" t="s">
        <v>11</v>
      </c>
      <c r="B5706" s="89" t="s">
        <v>616</v>
      </c>
      <c r="C5706" s="89">
        <v>2836974</v>
      </c>
      <c r="D5706" s="89" t="s">
        <v>663</v>
      </c>
    </row>
    <row r="5707" spans="1:4" x14ac:dyDescent="0.25">
      <c r="A5707" s="89" t="s">
        <v>11</v>
      </c>
      <c r="B5707" s="89" t="s">
        <v>616</v>
      </c>
      <c r="C5707" s="89">
        <v>2414111</v>
      </c>
      <c r="D5707" s="89" t="s">
        <v>663</v>
      </c>
    </row>
    <row r="5708" spans="1:4" x14ac:dyDescent="0.25">
      <c r="A5708" s="89" t="s">
        <v>11</v>
      </c>
      <c r="B5708" s="89" t="s">
        <v>616</v>
      </c>
      <c r="C5708" s="89">
        <v>7543948.4900000002</v>
      </c>
      <c r="D5708" s="89" t="s">
        <v>663</v>
      </c>
    </row>
    <row r="5709" spans="1:4" x14ac:dyDescent="0.25">
      <c r="A5709" s="89" t="s">
        <v>11</v>
      </c>
      <c r="B5709" s="89" t="s">
        <v>616</v>
      </c>
      <c r="C5709" s="89">
        <v>1223132</v>
      </c>
      <c r="D5709" s="89" t="s">
        <v>663</v>
      </c>
    </row>
    <row r="5710" spans="1:4" x14ac:dyDescent="0.25">
      <c r="A5710" s="89" t="s">
        <v>11</v>
      </c>
      <c r="B5710" s="89" t="s">
        <v>616</v>
      </c>
      <c r="C5710" s="89">
        <v>4032885.46</v>
      </c>
      <c r="D5710" s="89" t="s">
        <v>663</v>
      </c>
    </row>
    <row r="5711" spans="1:4" x14ac:dyDescent="0.25">
      <c r="A5711" s="89" t="s">
        <v>11</v>
      </c>
      <c r="B5711" s="89" t="s">
        <v>616</v>
      </c>
      <c r="C5711" s="89">
        <v>4506846.25</v>
      </c>
      <c r="D5711" s="89" t="s">
        <v>663</v>
      </c>
    </row>
    <row r="5712" spans="1:4" x14ac:dyDescent="0.25">
      <c r="A5712" s="89" t="s">
        <v>11</v>
      </c>
      <c r="B5712" s="89" t="s">
        <v>616</v>
      </c>
      <c r="C5712" s="89">
        <v>15070168</v>
      </c>
      <c r="D5712" s="89" t="s">
        <v>663</v>
      </c>
    </row>
    <row r="5713" spans="1:4" x14ac:dyDescent="0.25">
      <c r="A5713" s="89" t="s">
        <v>11</v>
      </c>
      <c r="B5713" s="89" t="s">
        <v>616</v>
      </c>
      <c r="C5713" s="89">
        <v>2762940</v>
      </c>
      <c r="D5713" s="89" t="s">
        <v>663</v>
      </c>
    </row>
    <row r="5714" spans="1:4" x14ac:dyDescent="0.25">
      <c r="A5714" s="89" t="s">
        <v>11</v>
      </c>
      <c r="B5714" s="89" t="s">
        <v>616</v>
      </c>
      <c r="C5714" s="89">
        <v>6071136</v>
      </c>
      <c r="D5714" s="89" t="s">
        <v>663</v>
      </c>
    </row>
    <row r="5715" spans="1:4" x14ac:dyDescent="0.25">
      <c r="A5715" s="89" t="s">
        <v>11</v>
      </c>
      <c r="B5715" s="89" t="s">
        <v>616</v>
      </c>
      <c r="C5715" s="89">
        <v>32907</v>
      </c>
      <c r="D5715" s="89" t="s">
        <v>663</v>
      </c>
    </row>
    <row r="5716" spans="1:4" x14ac:dyDescent="0.25">
      <c r="A5716" s="89" t="s">
        <v>11</v>
      </c>
      <c r="B5716" s="89" t="s">
        <v>616</v>
      </c>
      <c r="C5716" s="89">
        <v>6872499.4500000002</v>
      </c>
      <c r="D5716" s="89" t="s">
        <v>663</v>
      </c>
    </row>
    <row r="5717" spans="1:4" x14ac:dyDescent="0.25">
      <c r="A5717" s="89" t="s">
        <v>11</v>
      </c>
      <c r="B5717" s="89" t="s">
        <v>616</v>
      </c>
      <c r="C5717" s="89">
        <v>5405000</v>
      </c>
      <c r="D5717" s="89" t="s">
        <v>663</v>
      </c>
    </row>
    <row r="5718" spans="1:4" x14ac:dyDescent="0.25">
      <c r="A5718" s="89" t="s">
        <v>11</v>
      </c>
      <c r="B5718" s="89" t="s">
        <v>616</v>
      </c>
      <c r="C5718" s="89">
        <v>5708528.8899999997</v>
      </c>
      <c r="D5718" s="89" t="s">
        <v>663</v>
      </c>
    </row>
    <row r="5719" spans="1:4" x14ac:dyDescent="0.25">
      <c r="A5719" s="89" t="s">
        <v>11</v>
      </c>
      <c r="B5719" s="89" t="s">
        <v>616</v>
      </c>
      <c r="C5719" s="89">
        <v>4762217</v>
      </c>
      <c r="D5719" s="89" t="s">
        <v>663</v>
      </c>
    </row>
    <row r="5720" spans="1:4" x14ac:dyDescent="0.25">
      <c r="A5720" s="89" t="s">
        <v>11</v>
      </c>
      <c r="B5720" s="89" t="s">
        <v>616</v>
      </c>
      <c r="C5720" s="89">
        <v>481926</v>
      </c>
      <c r="D5720" s="89" t="s">
        <v>663</v>
      </c>
    </row>
    <row r="5721" spans="1:4" x14ac:dyDescent="0.25">
      <c r="A5721" s="89" t="s">
        <v>11</v>
      </c>
      <c r="B5721" s="89" t="s">
        <v>616</v>
      </c>
      <c r="C5721" s="89">
        <v>462525</v>
      </c>
      <c r="D5721" s="89" t="s">
        <v>663</v>
      </c>
    </row>
    <row r="5722" spans="1:4" x14ac:dyDescent="0.25">
      <c r="A5722" s="89" t="s">
        <v>11</v>
      </c>
      <c r="B5722" s="89" t="s">
        <v>616</v>
      </c>
      <c r="C5722" s="89">
        <v>563315</v>
      </c>
      <c r="D5722" s="89" t="s">
        <v>663</v>
      </c>
    </row>
    <row r="5723" spans="1:4" x14ac:dyDescent="0.25">
      <c r="A5723" s="89" t="s">
        <v>11</v>
      </c>
      <c r="B5723" s="89" t="s">
        <v>616</v>
      </c>
      <c r="C5723" s="89">
        <v>869300</v>
      </c>
      <c r="D5723" s="89" t="s">
        <v>663</v>
      </c>
    </row>
    <row r="5724" spans="1:4" x14ac:dyDescent="0.25">
      <c r="A5724" s="89" t="s">
        <v>11</v>
      </c>
      <c r="B5724" s="89" t="s">
        <v>616</v>
      </c>
      <c r="C5724" s="89">
        <v>11290692.84</v>
      </c>
      <c r="D5724" s="89" t="s">
        <v>663</v>
      </c>
    </row>
    <row r="5725" spans="1:4" x14ac:dyDescent="0.25">
      <c r="A5725" s="89" t="s">
        <v>11</v>
      </c>
      <c r="B5725" s="89" t="s">
        <v>616</v>
      </c>
      <c r="C5725" s="89">
        <v>3288802</v>
      </c>
      <c r="D5725" s="89" t="s">
        <v>663</v>
      </c>
    </row>
    <row r="5726" spans="1:4" x14ac:dyDescent="0.25">
      <c r="A5726" s="89" t="s">
        <v>11</v>
      </c>
      <c r="B5726" s="89" t="s">
        <v>616</v>
      </c>
      <c r="C5726" s="89">
        <v>5824279</v>
      </c>
      <c r="D5726" s="89" t="s">
        <v>666</v>
      </c>
    </row>
    <row r="5727" spans="1:4" x14ac:dyDescent="0.25">
      <c r="A5727" s="89" t="s">
        <v>11</v>
      </c>
      <c r="B5727" s="89" t="s">
        <v>616</v>
      </c>
      <c r="C5727" s="89">
        <v>8675661.1999999993</v>
      </c>
      <c r="D5727" s="89" t="s">
        <v>663</v>
      </c>
    </row>
    <row r="5728" spans="1:4" x14ac:dyDescent="0.25">
      <c r="A5728" s="89" t="s">
        <v>11</v>
      </c>
      <c r="B5728" s="89" t="s">
        <v>616</v>
      </c>
      <c r="C5728" s="89">
        <v>5431522</v>
      </c>
      <c r="D5728" s="89" t="s">
        <v>663</v>
      </c>
    </row>
    <row r="5729" spans="1:4" x14ac:dyDescent="0.25">
      <c r="A5729" s="89" t="s">
        <v>11</v>
      </c>
      <c r="B5729" s="89" t="s">
        <v>616</v>
      </c>
      <c r="C5729" s="89">
        <v>3452414</v>
      </c>
      <c r="D5729" s="89" t="s">
        <v>663</v>
      </c>
    </row>
    <row r="5730" spans="1:4" x14ac:dyDescent="0.25">
      <c r="A5730" s="89" t="s">
        <v>11</v>
      </c>
      <c r="B5730" s="89" t="s">
        <v>616</v>
      </c>
      <c r="C5730" s="89">
        <v>6164477.2599999998</v>
      </c>
      <c r="D5730" s="89" t="s">
        <v>663</v>
      </c>
    </row>
    <row r="5731" spans="1:4" x14ac:dyDescent="0.25">
      <c r="A5731" s="89" t="s">
        <v>11</v>
      </c>
      <c r="B5731" s="89" t="s">
        <v>616</v>
      </c>
      <c r="C5731" s="89">
        <v>510581</v>
      </c>
      <c r="D5731" s="89" t="s">
        <v>663</v>
      </c>
    </row>
    <row r="5732" spans="1:4" x14ac:dyDescent="0.25">
      <c r="A5732" s="89" t="s">
        <v>11</v>
      </c>
      <c r="B5732" s="89" t="s">
        <v>616</v>
      </c>
      <c r="C5732" s="89">
        <v>1440775</v>
      </c>
      <c r="D5732" s="89" t="s">
        <v>663</v>
      </c>
    </row>
    <row r="5733" spans="1:4" x14ac:dyDescent="0.25">
      <c r="A5733" s="89" t="s">
        <v>11</v>
      </c>
      <c r="B5733" s="89" t="s">
        <v>616</v>
      </c>
      <c r="C5733" s="89">
        <v>-497270</v>
      </c>
      <c r="D5733" s="89" t="s">
        <v>663</v>
      </c>
    </row>
    <row r="5734" spans="1:4" x14ac:dyDescent="0.25">
      <c r="A5734" s="89" t="s">
        <v>11</v>
      </c>
      <c r="B5734" s="89" t="s">
        <v>616</v>
      </c>
      <c r="C5734" s="89">
        <v>7148638</v>
      </c>
      <c r="D5734" s="89" t="s">
        <v>666</v>
      </c>
    </row>
    <row r="5735" spans="1:4" x14ac:dyDescent="0.25">
      <c r="A5735" s="89" t="s">
        <v>11</v>
      </c>
      <c r="B5735" s="89" t="s">
        <v>616</v>
      </c>
      <c r="C5735" s="89">
        <v>10251913</v>
      </c>
      <c r="D5735" s="89" t="s">
        <v>663</v>
      </c>
    </row>
    <row r="5736" spans="1:4" x14ac:dyDescent="0.25">
      <c r="A5736" s="89" t="s">
        <v>11</v>
      </c>
      <c r="B5736" s="89" t="s">
        <v>616</v>
      </c>
      <c r="C5736" s="89">
        <v>10590013</v>
      </c>
      <c r="D5736" s="89" t="s">
        <v>663</v>
      </c>
    </row>
    <row r="5737" spans="1:4" x14ac:dyDescent="0.25">
      <c r="A5737" s="89" t="s">
        <v>11</v>
      </c>
      <c r="B5737" s="89" t="s">
        <v>616</v>
      </c>
      <c r="C5737" s="89">
        <v>10738283</v>
      </c>
      <c r="D5737" s="89" t="s">
        <v>663</v>
      </c>
    </row>
    <row r="5738" spans="1:4" x14ac:dyDescent="0.25">
      <c r="A5738" s="89" t="s">
        <v>11</v>
      </c>
      <c r="B5738" s="89" t="s">
        <v>616</v>
      </c>
      <c r="C5738" s="89">
        <v>4283156</v>
      </c>
      <c r="D5738" s="89" t="s">
        <v>663</v>
      </c>
    </row>
    <row r="5739" spans="1:4" x14ac:dyDescent="0.25">
      <c r="A5739" s="89" t="s">
        <v>9</v>
      </c>
      <c r="B5739" s="89" t="s">
        <v>616</v>
      </c>
      <c r="C5739" s="89">
        <v>359034</v>
      </c>
      <c r="D5739" s="89" t="s">
        <v>664</v>
      </c>
    </row>
    <row r="5740" spans="1:4" x14ac:dyDescent="0.25">
      <c r="A5740" s="89" t="s">
        <v>9</v>
      </c>
      <c r="B5740" s="89" t="s">
        <v>616</v>
      </c>
      <c r="C5740" s="89">
        <v>834650</v>
      </c>
      <c r="D5740" s="89" t="s">
        <v>666</v>
      </c>
    </row>
    <row r="5741" spans="1:4" x14ac:dyDescent="0.25">
      <c r="A5741" s="89" t="s">
        <v>9</v>
      </c>
      <c r="B5741" s="89" t="s">
        <v>616</v>
      </c>
      <c r="C5741" s="89">
        <v>407181</v>
      </c>
      <c r="D5741" s="89" t="s">
        <v>663</v>
      </c>
    </row>
    <row r="5742" spans="1:4" x14ac:dyDescent="0.25">
      <c r="A5742" s="89" t="s">
        <v>9</v>
      </c>
      <c r="B5742" s="89" t="s">
        <v>616</v>
      </c>
      <c r="C5742" s="89">
        <v>1078706</v>
      </c>
      <c r="D5742" s="89" t="s">
        <v>666</v>
      </c>
    </row>
    <row r="5743" spans="1:4" x14ac:dyDescent="0.25">
      <c r="A5743" s="89" t="s">
        <v>9</v>
      </c>
      <c r="B5743" s="89" t="s">
        <v>616</v>
      </c>
      <c r="C5743" s="89">
        <v>450290</v>
      </c>
      <c r="D5743" s="89" t="s">
        <v>664</v>
      </c>
    </row>
    <row r="5744" spans="1:4" x14ac:dyDescent="0.25">
      <c r="A5744" s="89" t="s">
        <v>9</v>
      </c>
      <c r="B5744" s="89" t="s">
        <v>616</v>
      </c>
      <c r="C5744" s="89">
        <v>1203032</v>
      </c>
      <c r="D5744" s="89" t="s">
        <v>666</v>
      </c>
    </row>
    <row r="5745" spans="1:4" x14ac:dyDescent="0.25">
      <c r="A5745" s="89" t="s">
        <v>9</v>
      </c>
      <c r="B5745" s="89" t="s">
        <v>616</v>
      </c>
      <c r="C5745" s="89">
        <v>1108981</v>
      </c>
      <c r="D5745" s="89" t="s">
        <v>663</v>
      </c>
    </row>
    <row r="5746" spans="1:4" x14ac:dyDescent="0.25">
      <c r="A5746" s="89" t="s">
        <v>9</v>
      </c>
      <c r="B5746" s="89" t="s">
        <v>616</v>
      </c>
      <c r="C5746" s="89">
        <v>1188496</v>
      </c>
      <c r="D5746" s="89" t="s">
        <v>663</v>
      </c>
    </row>
    <row r="5747" spans="1:4" x14ac:dyDescent="0.25">
      <c r="A5747" s="89" t="s">
        <v>9</v>
      </c>
      <c r="B5747" s="89" t="s">
        <v>616</v>
      </c>
      <c r="C5747" s="89">
        <v>1978532</v>
      </c>
      <c r="D5747" s="89" t="s">
        <v>663</v>
      </c>
    </row>
    <row r="5748" spans="1:4" x14ac:dyDescent="0.25">
      <c r="A5748" s="89" t="s">
        <v>9</v>
      </c>
      <c r="B5748" s="89" t="s">
        <v>616</v>
      </c>
      <c r="C5748" s="89">
        <v>1364063</v>
      </c>
      <c r="D5748" s="89" t="s">
        <v>666</v>
      </c>
    </row>
    <row r="5749" spans="1:4" x14ac:dyDescent="0.25">
      <c r="A5749" s="89" t="s">
        <v>9</v>
      </c>
      <c r="B5749" s="89" t="s">
        <v>616</v>
      </c>
      <c r="C5749" s="89">
        <v>315034</v>
      </c>
      <c r="D5749" s="89" t="s">
        <v>664</v>
      </c>
    </row>
    <row r="5750" spans="1:4" x14ac:dyDescent="0.25">
      <c r="A5750" s="89" t="s">
        <v>9</v>
      </c>
      <c r="B5750" s="89" t="s">
        <v>616</v>
      </c>
      <c r="C5750" s="89">
        <v>450069.62</v>
      </c>
      <c r="D5750" s="89" t="s">
        <v>664</v>
      </c>
    </row>
    <row r="5751" spans="1:4" x14ac:dyDescent="0.25">
      <c r="A5751" s="89" t="s">
        <v>9</v>
      </c>
      <c r="B5751" s="89" t="s">
        <v>616</v>
      </c>
      <c r="C5751" s="89">
        <v>-219481.88</v>
      </c>
      <c r="D5751" s="89" t="s">
        <v>666</v>
      </c>
    </row>
    <row r="5752" spans="1:4" x14ac:dyDescent="0.25">
      <c r="A5752" s="89" t="s">
        <v>9</v>
      </c>
      <c r="B5752" s="89" t="s">
        <v>616</v>
      </c>
      <c r="C5752" s="89">
        <v>2794978</v>
      </c>
      <c r="D5752" s="89" t="s">
        <v>666</v>
      </c>
    </row>
    <row r="5753" spans="1:4" x14ac:dyDescent="0.25">
      <c r="A5753" s="89" t="s">
        <v>9</v>
      </c>
      <c r="B5753" s="89" t="s">
        <v>616</v>
      </c>
      <c r="C5753" s="89">
        <v>59634.38</v>
      </c>
      <c r="D5753" s="89" t="s">
        <v>664</v>
      </c>
    </row>
    <row r="5754" spans="1:4" x14ac:dyDescent="0.25">
      <c r="A5754" s="89" t="s">
        <v>9</v>
      </c>
      <c r="B5754" s="89" t="s">
        <v>616</v>
      </c>
      <c r="C5754" s="89">
        <v>624221</v>
      </c>
      <c r="D5754" s="89" t="s">
        <v>666</v>
      </c>
    </row>
    <row r="5755" spans="1:4" x14ac:dyDescent="0.25">
      <c r="A5755" s="89" t="s">
        <v>9</v>
      </c>
      <c r="B5755" s="89" t="s">
        <v>616</v>
      </c>
      <c r="C5755" s="89">
        <v>2006876</v>
      </c>
      <c r="D5755" s="89" t="s">
        <v>663</v>
      </c>
    </row>
    <row r="5756" spans="1:4" x14ac:dyDescent="0.25">
      <c r="A5756" s="89" t="s">
        <v>9</v>
      </c>
      <c r="B5756" s="89" t="s">
        <v>616</v>
      </c>
      <c r="C5756" s="89">
        <v>260411</v>
      </c>
      <c r="D5756" s="89" t="s">
        <v>664</v>
      </c>
    </row>
    <row r="5757" spans="1:4" x14ac:dyDescent="0.25">
      <c r="A5757" s="89" t="s">
        <v>9</v>
      </c>
      <c r="B5757" s="89" t="s">
        <v>616</v>
      </c>
      <c r="C5757" s="89">
        <v>2268975.23</v>
      </c>
      <c r="D5757" s="89" t="s">
        <v>663</v>
      </c>
    </row>
    <row r="5758" spans="1:4" x14ac:dyDescent="0.25">
      <c r="A5758" s="89" t="s">
        <v>9</v>
      </c>
      <c r="B5758" s="89" t="s">
        <v>616</v>
      </c>
      <c r="C5758" s="89">
        <v>2531375</v>
      </c>
      <c r="D5758" s="89" t="s">
        <v>666</v>
      </c>
    </row>
    <row r="5759" spans="1:4" x14ac:dyDescent="0.25">
      <c r="A5759" s="89" t="s">
        <v>9</v>
      </c>
      <c r="B5759" s="89" t="s">
        <v>616</v>
      </c>
      <c r="C5759" s="89">
        <v>3655499</v>
      </c>
      <c r="D5759" s="89" t="s">
        <v>663</v>
      </c>
    </row>
    <row r="5760" spans="1:4" x14ac:dyDescent="0.25">
      <c r="A5760" s="89" t="s">
        <v>9</v>
      </c>
      <c r="B5760" s="89" t="s">
        <v>616</v>
      </c>
      <c r="C5760" s="89">
        <v>3606035</v>
      </c>
      <c r="D5760" s="89" t="s">
        <v>663</v>
      </c>
    </row>
    <row r="5761" spans="1:4" x14ac:dyDescent="0.25">
      <c r="A5761" s="89" t="s">
        <v>9</v>
      </c>
      <c r="B5761" s="89" t="s">
        <v>616</v>
      </c>
      <c r="C5761" s="89">
        <v>528616</v>
      </c>
      <c r="D5761" s="89" t="s">
        <v>664</v>
      </c>
    </row>
    <row r="5762" spans="1:4" x14ac:dyDescent="0.25">
      <c r="A5762" s="89" t="s">
        <v>9</v>
      </c>
      <c r="B5762" s="89" t="s">
        <v>616</v>
      </c>
      <c r="C5762" s="89">
        <v>2303329</v>
      </c>
      <c r="D5762" s="89" t="s">
        <v>666</v>
      </c>
    </row>
    <row r="5763" spans="1:4" x14ac:dyDescent="0.25">
      <c r="A5763" s="89" t="s">
        <v>9</v>
      </c>
      <c r="B5763" s="89" t="s">
        <v>616</v>
      </c>
      <c r="C5763" s="89">
        <v>838519</v>
      </c>
      <c r="D5763" s="89" t="s">
        <v>663</v>
      </c>
    </row>
    <row r="5764" spans="1:4" x14ac:dyDescent="0.25">
      <c r="A5764" s="89" t="s">
        <v>9</v>
      </c>
      <c r="B5764" s="89" t="s">
        <v>616</v>
      </c>
      <c r="C5764" s="89">
        <v>1066612</v>
      </c>
      <c r="D5764" s="89" t="s">
        <v>666</v>
      </c>
    </row>
    <row r="5765" spans="1:4" x14ac:dyDescent="0.25">
      <c r="A5765" s="89" t="s">
        <v>9</v>
      </c>
      <c r="B5765" s="89" t="s">
        <v>616</v>
      </c>
      <c r="C5765" s="89">
        <v>1048364</v>
      </c>
      <c r="D5765" s="89" t="s">
        <v>663</v>
      </c>
    </row>
    <row r="5766" spans="1:4" x14ac:dyDescent="0.25">
      <c r="A5766" s="89" t="s">
        <v>9</v>
      </c>
      <c r="B5766" s="89" t="s">
        <v>616</v>
      </c>
      <c r="C5766" s="89">
        <v>984904</v>
      </c>
      <c r="D5766" s="89" t="s">
        <v>664</v>
      </c>
    </row>
    <row r="5767" spans="1:4" x14ac:dyDescent="0.25">
      <c r="A5767" s="89" t="s">
        <v>9</v>
      </c>
      <c r="B5767" s="89" t="s">
        <v>616</v>
      </c>
      <c r="C5767" s="89">
        <v>1099045</v>
      </c>
      <c r="D5767" s="89" t="s">
        <v>666</v>
      </c>
    </row>
    <row r="5768" spans="1:4" x14ac:dyDescent="0.25">
      <c r="A5768" s="89" t="s">
        <v>9</v>
      </c>
      <c r="B5768" s="89" t="s">
        <v>616</v>
      </c>
      <c r="C5768" s="89">
        <v>1618864</v>
      </c>
      <c r="D5768" s="89" t="s">
        <v>663</v>
      </c>
    </row>
    <row r="5769" spans="1:4" x14ac:dyDescent="0.25">
      <c r="A5769" s="89" t="s">
        <v>9</v>
      </c>
      <c r="B5769" s="89" t="s">
        <v>616</v>
      </c>
      <c r="C5769" s="89">
        <v>50000</v>
      </c>
      <c r="D5769" s="89" t="s">
        <v>666</v>
      </c>
    </row>
    <row r="5770" spans="1:4" x14ac:dyDescent="0.25">
      <c r="A5770" s="89" t="s">
        <v>9</v>
      </c>
      <c r="B5770" s="89" t="s">
        <v>616</v>
      </c>
      <c r="C5770" s="89">
        <v>1391440.22</v>
      </c>
      <c r="D5770" s="89" t="s">
        <v>666</v>
      </c>
    </row>
    <row r="5771" spans="1:4" x14ac:dyDescent="0.25">
      <c r="A5771" s="89" t="s">
        <v>9</v>
      </c>
      <c r="B5771" s="89" t="s">
        <v>616</v>
      </c>
      <c r="C5771" s="89">
        <v>50000</v>
      </c>
      <c r="D5771" s="89" t="s">
        <v>666</v>
      </c>
    </row>
    <row r="5772" spans="1:4" x14ac:dyDescent="0.25">
      <c r="A5772" s="89" t="s">
        <v>9</v>
      </c>
      <c r="B5772" s="89" t="s">
        <v>616</v>
      </c>
      <c r="C5772" s="89">
        <v>974733</v>
      </c>
      <c r="D5772" s="89" t="s">
        <v>666</v>
      </c>
    </row>
    <row r="5773" spans="1:4" x14ac:dyDescent="0.25">
      <c r="A5773" s="89" t="s">
        <v>9</v>
      </c>
      <c r="B5773" s="89" t="s">
        <v>616</v>
      </c>
      <c r="C5773" s="89">
        <v>5542552</v>
      </c>
      <c r="D5773" s="89" t="s">
        <v>663</v>
      </c>
    </row>
    <row r="5774" spans="1:4" x14ac:dyDescent="0.25">
      <c r="A5774" s="89" t="s">
        <v>9</v>
      </c>
      <c r="B5774" s="89" t="s">
        <v>616</v>
      </c>
      <c r="C5774" s="89">
        <v>-1391440.22</v>
      </c>
      <c r="D5774" s="89" t="s">
        <v>666</v>
      </c>
    </row>
    <row r="5775" spans="1:4" x14ac:dyDescent="0.25">
      <c r="A5775" s="89" t="s">
        <v>9</v>
      </c>
      <c r="B5775" s="89" t="s">
        <v>616</v>
      </c>
      <c r="C5775" s="89">
        <v>3402034</v>
      </c>
      <c r="D5775" s="89" t="s">
        <v>666</v>
      </c>
    </row>
    <row r="5776" spans="1:4" x14ac:dyDescent="0.25">
      <c r="A5776" s="89" t="s">
        <v>9</v>
      </c>
      <c r="B5776" s="89" t="s">
        <v>616</v>
      </c>
      <c r="C5776" s="89">
        <v>819887</v>
      </c>
      <c r="D5776" s="89" t="s">
        <v>663</v>
      </c>
    </row>
    <row r="5777" spans="1:4" x14ac:dyDescent="0.25">
      <c r="A5777" s="89" t="s">
        <v>9</v>
      </c>
      <c r="B5777" s="89" t="s">
        <v>616</v>
      </c>
      <c r="C5777" s="89">
        <v>2098700.34</v>
      </c>
      <c r="D5777" s="89" t="s">
        <v>666</v>
      </c>
    </row>
    <row r="5778" spans="1:4" x14ac:dyDescent="0.25">
      <c r="A5778" s="89" t="s">
        <v>114</v>
      </c>
      <c r="B5778" s="89" t="s">
        <v>616</v>
      </c>
      <c r="C5778" s="89">
        <v>115300</v>
      </c>
      <c r="D5778" s="89" t="s">
        <v>666</v>
      </c>
    </row>
    <row r="5779" spans="1:4" x14ac:dyDescent="0.25">
      <c r="A5779" s="89" t="s">
        <v>114</v>
      </c>
      <c r="B5779" s="89" t="s">
        <v>616</v>
      </c>
      <c r="C5779" s="89">
        <v>3171554.14</v>
      </c>
      <c r="D5779" s="89" t="s">
        <v>664</v>
      </c>
    </row>
    <row r="5780" spans="1:4" x14ac:dyDescent="0.25">
      <c r="A5780" s="89" t="s">
        <v>114</v>
      </c>
      <c r="B5780" s="89" t="s">
        <v>616</v>
      </c>
      <c r="C5780" s="89">
        <v>1516113</v>
      </c>
      <c r="D5780" s="89" t="s">
        <v>664</v>
      </c>
    </row>
    <row r="5781" spans="1:4" x14ac:dyDescent="0.25">
      <c r="A5781" s="89" t="s">
        <v>114</v>
      </c>
      <c r="B5781" s="89" t="s">
        <v>616</v>
      </c>
      <c r="C5781" s="89">
        <v>286963</v>
      </c>
      <c r="D5781" s="89" t="s">
        <v>666</v>
      </c>
    </row>
    <row r="5782" spans="1:4" x14ac:dyDescent="0.25">
      <c r="A5782" s="89" t="s">
        <v>114</v>
      </c>
      <c r="B5782" s="89" t="s">
        <v>616</v>
      </c>
      <c r="C5782" s="89">
        <v>1012313</v>
      </c>
      <c r="D5782" s="89" t="s">
        <v>664</v>
      </c>
    </row>
    <row r="5783" spans="1:4" x14ac:dyDescent="0.25">
      <c r="A5783" s="89" t="s">
        <v>114</v>
      </c>
      <c r="B5783" s="89" t="s">
        <v>616</v>
      </c>
      <c r="C5783" s="89">
        <v>930694.86</v>
      </c>
      <c r="D5783" s="89" t="s">
        <v>663</v>
      </c>
    </row>
    <row r="5784" spans="1:4" x14ac:dyDescent="0.25">
      <c r="A5784" s="89" t="s">
        <v>114</v>
      </c>
      <c r="B5784" s="89" t="s">
        <v>616</v>
      </c>
      <c r="C5784" s="89">
        <v>2608356.2400000002</v>
      </c>
      <c r="D5784" s="89" t="s">
        <v>663</v>
      </c>
    </row>
    <row r="5785" spans="1:4" x14ac:dyDescent="0.25">
      <c r="A5785" s="89" t="s">
        <v>114</v>
      </c>
      <c r="B5785" s="89" t="s">
        <v>616</v>
      </c>
      <c r="C5785" s="89">
        <v>224448</v>
      </c>
      <c r="D5785" s="89" t="s">
        <v>666</v>
      </c>
    </row>
    <row r="5786" spans="1:4" x14ac:dyDescent="0.25">
      <c r="A5786" s="89" t="s">
        <v>114</v>
      </c>
      <c r="B5786" s="89" t="s">
        <v>616</v>
      </c>
      <c r="C5786" s="89">
        <v>126398</v>
      </c>
      <c r="D5786" s="89" t="s">
        <v>666</v>
      </c>
    </row>
    <row r="5787" spans="1:4" x14ac:dyDescent="0.25">
      <c r="A5787" s="89" t="s">
        <v>114</v>
      </c>
      <c r="B5787" s="89" t="s">
        <v>616</v>
      </c>
      <c r="C5787" s="89">
        <v>1747233</v>
      </c>
      <c r="D5787" s="89" t="s">
        <v>664</v>
      </c>
    </row>
    <row r="5788" spans="1:4" x14ac:dyDescent="0.25">
      <c r="A5788" s="89" t="s">
        <v>114</v>
      </c>
      <c r="B5788" s="89" t="s">
        <v>616</v>
      </c>
      <c r="C5788" s="89">
        <v>2139443</v>
      </c>
      <c r="D5788" s="89" t="s">
        <v>664</v>
      </c>
    </row>
    <row r="5789" spans="1:4" x14ac:dyDescent="0.25">
      <c r="A5789" s="89" t="s">
        <v>114</v>
      </c>
      <c r="B5789" s="89" t="s">
        <v>616</v>
      </c>
      <c r="C5789" s="89">
        <v>255931</v>
      </c>
      <c r="D5789" s="89" t="s">
        <v>663</v>
      </c>
    </row>
    <row r="5790" spans="1:4" x14ac:dyDescent="0.25">
      <c r="A5790" s="89" t="s">
        <v>114</v>
      </c>
      <c r="B5790" s="89" t="s">
        <v>616</v>
      </c>
      <c r="C5790" s="89">
        <v>244576</v>
      </c>
      <c r="D5790" s="89" t="s">
        <v>663</v>
      </c>
    </row>
    <row r="5791" spans="1:4" x14ac:dyDescent="0.25">
      <c r="A5791" s="89" t="s">
        <v>114</v>
      </c>
      <c r="B5791" s="89" t="s">
        <v>616</v>
      </c>
      <c r="C5791" s="89">
        <v>231653</v>
      </c>
      <c r="D5791" s="89" t="s">
        <v>664</v>
      </c>
    </row>
    <row r="5792" spans="1:4" x14ac:dyDescent="0.25">
      <c r="A5792" s="89" t="s">
        <v>114</v>
      </c>
      <c r="B5792" s="89" t="s">
        <v>616</v>
      </c>
      <c r="C5792" s="89">
        <v>558840</v>
      </c>
      <c r="D5792" s="89" t="s">
        <v>666</v>
      </c>
    </row>
    <row r="5793" spans="1:4" x14ac:dyDescent="0.25">
      <c r="A5793" s="89" t="s">
        <v>114</v>
      </c>
      <c r="B5793" s="89" t="s">
        <v>616</v>
      </c>
      <c r="C5793" s="89">
        <v>517772</v>
      </c>
      <c r="D5793" s="89" t="s">
        <v>663</v>
      </c>
    </row>
    <row r="5794" spans="1:4" x14ac:dyDescent="0.25">
      <c r="A5794" s="89" t="s">
        <v>114</v>
      </c>
      <c r="B5794" s="89" t="s">
        <v>616</v>
      </c>
      <c r="C5794" s="89">
        <v>781551</v>
      </c>
      <c r="D5794" s="89" t="s">
        <v>666</v>
      </c>
    </row>
    <row r="5795" spans="1:4" x14ac:dyDescent="0.25">
      <c r="A5795" s="89" t="s">
        <v>114</v>
      </c>
      <c r="B5795" s="89" t="s">
        <v>616</v>
      </c>
      <c r="C5795" s="89">
        <v>264027</v>
      </c>
      <c r="D5795" s="89" t="s">
        <v>663</v>
      </c>
    </row>
    <row r="5796" spans="1:4" x14ac:dyDescent="0.25">
      <c r="A5796" s="89" t="s">
        <v>114</v>
      </c>
      <c r="B5796" s="89" t="s">
        <v>616</v>
      </c>
      <c r="C5796" s="89">
        <v>1033227</v>
      </c>
      <c r="D5796" s="89" t="s">
        <v>664</v>
      </c>
    </row>
    <row r="5797" spans="1:4" x14ac:dyDescent="0.25">
      <c r="A5797" s="89" t="s">
        <v>114</v>
      </c>
      <c r="B5797" s="89" t="s">
        <v>616</v>
      </c>
      <c r="C5797" s="89">
        <v>1064859</v>
      </c>
      <c r="D5797" s="89" t="s">
        <v>663</v>
      </c>
    </row>
    <row r="5798" spans="1:4" x14ac:dyDescent="0.25">
      <c r="A5798" s="89" t="s">
        <v>114</v>
      </c>
      <c r="B5798" s="89" t="s">
        <v>616</v>
      </c>
      <c r="C5798" s="89">
        <v>1350000</v>
      </c>
      <c r="D5798" s="89" t="s">
        <v>663</v>
      </c>
    </row>
    <row r="5799" spans="1:4" x14ac:dyDescent="0.25">
      <c r="A5799" s="89" t="s">
        <v>114</v>
      </c>
      <c r="B5799" s="89" t="s">
        <v>616</v>
      </c>
      <c r="C5799" s="89">
        <v>867191</v>
      </c>
      <c r="D5799" s="89" t="s">
        <v>666</v>
      </c>
    </row>
    <row r="5800" spans="1:4" x14ac:dyDescent="0.25">
      <c r="A5800" s="89" t="s">
        <v>114</v>
      </c>
      <c r="B5800" s="89" t="s">
        <v>616</v>
      </c>
      <c r="C5800" s="89">
        <v>1037990.39</v>
      </c>
      <c r="D5800" s="89" t="s">
        <v>666</v>
      </c>
    </row>
    <row r="5801" spans="1:4" x14ac:dyDescent="0.25">
      <c r="A5801" s="89" t="s">
        <v>114</v>
      </c>
      <c r="B5801" s="89" t="s">
        <v>616</v>
      </c>
      <c r="C5801" s="89">
        <v>4082037.86</v>
      </c>
      <c r="D5801" s="89" t="s">
        <v>664</v>
      </c>
    </row>
    <row r="5802" spans="1:4" x14ac:dyDescent="0.25">
      <c r="A5802" s="89" t="s">
        <v>114</v>
      </c>
      <c r="B5802" s="89" t="s">
        <v>616</v>
      </c>
      <c r="C5802" s="89">
        <v>1104530</v>
      </c>
      <c r="D5802" s="89" t="s">
        <v>664</v>
      </c>
    </row>
    <row r="5803" spans="1:4" x14ac:dyDescent="0.25">
      <c r="A5803" s="89" t="s">
        <v>114</v>
      </c>
      <c r="B5803" s="89" t="s">
        <v>616</v>
      </c>
      <c r="C5803" s="89">
        <v>50000</v>
      </c>
      <c r="D5803" s="89" t="s">
        <v>666</v>
      </c>
    </row>
    <row r="5804" spans="1:4" x14ac:dyDescent="0.25">
      <c r="A5804" s="89" t="s">
        <v>114</v>
      </c>
      <c r="B5804" s="89" t="s">
        <v>616</v>
      </c>
      <c r="C5804" s="89">
        <v>476726.55</v>
      </c>
      <c r="D5804" s="89" t="s">
        <v>663</v>
      </c>
    </row>
    <row r="5805" spans="1:4" x14ac:dyDescent="0.25">
      <c r="A5805" s="89" t="s">
        <v>114</v>
      </c>
      <c r="B5805" s="89" t="s">
        <v>616</v>
      </c>
      <c r="C5805" s="89">
        <v>912058</v>
      </c>
      <c r="D5805" s="89" t="s">
        <v>666</v>
      </c>
    </row>
    <row r="5806" spans="1:4" x14ac:dyDescent="0.25">
      <c r="A5806" s="89" t="s">
        <v>114</v>
      </c>
      <c r="B5806" s="89" t="s">
        <v>616</v>
      </c>
      <c r="C5806" s="89">
        <v>3088098.91</v>
      </c>
      <c r="D5806" s="89" t="s">
        <v>664</v>
      </c>
    </row>
    <row r="5807" spans="1:4" x14ac:dyDescent="0.25">
      <c r="A5807" s="89" t="s">
        <v>114</v>
      </c>
      <c r="B5807" s="89" t="s">
        <v>616</v>
      </c>
      <c r="C5807" s="89">
        <v>938137.64</v>
      </c>
      <c r="D5807" s="89" t="s">
        <v>664</v>
      </c>
    </row>
    <row r="5808" spans="1:4" x14ac:dyDescent="0.25">
      <c r="A5808" s="89" t="s">
        <v>114</v>
      </c>
      <c r="B5808" s="89" t="s">
        <v>616</v>
      </c>
      <c r="C5808" s="89">
        <v>416037.14</v>
      </c>
      <c r="D5808" s="89" t="s">
        <v>663</v>
      </c>
    </row>
    <row r="5809" spans="1:4" x14ac:dyDescent="0.25">
      <c r="A5809" s="89" t="s">
        <v>114</v>
      </c>
      <c r="B5809" s="89" t="s">
        <v>616</v>
      </c>
      <c r="C5809" s="89">
        <v>749750</v>
      </c>
      <c r="D5809" s="89" t="s">
        <v>666</v>
      </c>
    </row>
    <row r="5810" spans="1:4" x14ac:dyDescent="0.25">
      <c r="A5810" s="89" t="s">
        <v>114</v>
      </c>
      <c r="B5810" s="89" t="s">
        <v>616</v>
      </c>
      <c r="C5810" s="89">
        <v>-78337.13</v>
      </c>
      <c r="D5810" s="89" t="s">
        <v>663</v>
      </c>
    </row>
    <row r="5811" spans="1:4" x14ac:dyDescent="0.25">
      <c r="A5811" s="89" t="s">
        <v>114</v>
      </c>
      <c r="B5811" s="89" t="s">
        <v>616</v>
      </c>
      <c r="C5811" s="89">
        <v>4329433</v>
      </c>
      <c r="D5811" s="89" t="s">
        <v>664</v>
      </c>
    </row>
    <row r="5812" spans="1:4" x14ac:dyDescent="0.25">
      <c r="A5812" s="89" t="s">
        <v>114</v>
      </c>
      <c r="B5812" s="89" t="s">
        <v>616</v>
      </c>
      <c r="C5812" s="89">
        <v>1904577</v>
      </c>
      <c r="D5812" s="89" t="s">
        <v>663</v>
      </c>
    </row>
    <row r="5813" spans="1:4" x14ac:dyDescent="0.25">
      <c r="A5813" s="89" t="s">
        <v>114</v>
      </c>
      <c r="B5813" s="89" t="s">
        <v>616</v>
      </c>
      <c r="C5813" s="89">
        <v>1238466</v>
      </c>
      <c r="D5813" s="89" t="s">
        <v>666</v>
      </c>
    </row>
    <row r="5814" spans="1:4" x14ac:dyDescent="0.25">
      <c r="A5814" s="89" t="s">
        <v>114</v>
      </c>
      <c r="B5814" s="89" t="s">
        <v>616</v>
      </c>
      <c r="C5814" s="89">
        <v>701109.76000000001</v>
      </c>
      <c r="D5814" s="89" t="s">
        <v>663</v>
      </c>
    </row>
    <row r="5815" spans="1:4" x14ac:dyDescent="0.25">
      <c r="A5815" s="89" t="s">
        <v>114</v>
      </c>
      <c r="B5815" s="89" t="s">
        <v>616</v>
      </c>
      <c r="C5815" s="89">
        <v>2490202</v>
      </c>
      <c r="D5815" s="89" t="s">
        <v>664</v>
      </c>
    </row>
    <row r="5816" spans="1:4" x14ac:dyDescent="0.25">
      <c r="A5816" s="89" t="s">
        <v>114</v>
      </c>
      <c r="B5816" s="89" t="s">
        <v>616</v>
      </c>
      <c r="C5816" s="89">
        <v>876133</v>
      </c>
      <c r="D5816" s="89" t="s">
        <v>663</v>
      </c>
    </row>
    <row r="5817" spans="1:4" x14ac:dyDescent="0.25">
      <c r="A5817" s="89" t="s">
        <v>114</v>
      </c>
      <c r="B5817" s="89" t="s">
        <v>616</v>
      </c>
      <c r="C5817" s="89">
        <v>406500</v>
      </c>
      <c r="D5817" s="89" t="s">
        <v>666</v>
      </c>
    </row>
    <row r="5818" spans="1:4" x14ac:dyDescent="0.25">
      <c r="A5818" s="89" t="s">
        <v>114</v>
      </c>
      <c r="B5818" s="89" t="s">
        <v>616</v>
      </c>
      <c r="C5818" s="89">
        <v>737425</v>
      </c>
      <c r="D5818" s="89" t="s">
        <v>666</v>
      </c>
    </row>
    <row r="5819" spans="1:4" x14ac:dyDescent="0.25">
      <c r="A5819" s="89" t="s">
        <v>114</v>
      </c>
      <c r="B5819" s="89" t="s">
        <v>616</v>
      </c>
      <c r="C5819" s="89">
        <v>622855</v>
      </c>
      <c r="D5819" s="89" t="s">
        <v>663</v>
      </c>
    </row>
    <row r="5820" spans="1:4" x14ac:dyDescent="0.25">
      <c r="A5820" s="89" t="s">
        <v>114</v>
      </c>
      <c r="B5820" s="89" t="s">
        <v>616</v>
      </c>
      <c r="C5820" s="89">
        <v>2296122</v>
      </c>
      <c r="D5820" s="89" t="s">
        <v>663</v>
      </c>
    </row>
    <row r="5821" spans="1:4" x14ac:dyDescent="0.25">
      <c r="A5821" s="89" t="s">
        <v>114</v>
      </c>
      <c r="B5821" s="89" t="s">
        <v>616</v>
      </c>
      <c r="C5821" s="89">
        <v>3218217</v>
      </c>
      <c r="D5821" s="89" t="s">
        <v>664</v>
      </c>
    </row>
    <row r="5822" spans="1:4" x14ac:dyDescent="0.25">
      <c r="A5822" s="89" t="s">
        <v>114</v>
      </c>
      <c r="B5822" s="89" t="s">
        <v>616</v>
      </c>
      <c r="C5822" s="89">
        <v>3058821.5</v>
      </c>
      <c r="D5822" s="89" t="s">
        <v>663</v>
      </c>
    </row>
    <row r="5823" spans="1:4" x14ac:dyDescent="0.25">
      <c r="A5823" s="89" t="s">
        <v>114</v>
      </c>
      <c r="B5823" s="89" t="s">
        <v>616</v>
      </c>
      <c r="C5823" s="89">
        <v>3905781</v>
      </c>
      <c r="D5823" s="89" t="s">
        <v>663</v>
      </c>
    </row>
    <row r="5824" spans="1:4" x14ac:dyDescent="0.25">
      <c r="A5824" s="89" t="s">
        <v>114</v>
      </c>
      <c r="B5824" s="89" t="s">
        <v>616</v>
      </c>
      <c r="C5824" s="89">
        <v>2020492</v>
      </c>
      <c r="D5824" s="89" t="s">
        <v>666</v>
      </c>
    </row>
    <row r="5825" spans="1:4" x14ac:dyDescent="0.25">
      <c r="A5825" s="89" t="s">
        <v>114</v>
      </c>
      <c r="B5825" s="89" t="s">
        <v>616</v>
      </c>
      <c r="C5825" s="89">
        <v>4903260.09</v>
      </c>
      <c r="D5825" s="89" t="s">
        <v>666</v>
      </c>
    </row>
    <row r="5826" spans="1:4" x14ac:dyDescent="0.25">
      <c r="A5826" s="89" t="s">
        <v>114</v>
      </c>
      <c r="B5826" s="89" t="s">
        <v>616</v>
      </c>
      <c r="C5826" s="89">
        <v>84516.6</v>
      </c>
      <c r="D5826" s="89" t="s">
        <v>666</v>
      </c>
    </row>
    <row r="5827" spans="1:4" x14ac:dyDescent="0.25">
      <c r="A5827" s="89" t="s">
        <v>114</v>
      </c>
      <c r="B5827" s="89" t="s">
        <v>616</v>
      </c>
      <c r="C5827" s="89">
        <v>4790889</v>
      </c>
      <c r="D5827" s="89" t="s">
        <v>663</v>
      </c>
    </row>
    <row r="5828" spans="1:4" x14ac:dyDescent="0.25">
      <c r="A5828" s="89" t="s">
        <v>114</v>
      </c>
      <c r="B5828" s="89" t="s">
        <v>616</v>
      </c>
      <c r="C5828" s="89">
        <v>2537608.9500000002</v>
      </c>
      <c r="D5828" s="89" t="s">
        <v>664</v>
      </c>
    </row>
    <row r="5829" spans="1:4" x14ac:dyDescent="0.25">
      <c r="A5829" s="89" t="s">
        <v>114</v>
      </c>
      <c r="B5829" s="89" t="s">
        <v>616</v>
      </c>
      <c r="C5829" s="89">
        <v>1201527</v>
      </c>
      <c r="D5829" s="89" t="s">
        <v>663</v>
      </c>
    </row>
    <row r="5830" spans="1:4" x14ac:dyDescent="0.25">
      <c r="A5830" s="89" t="s">
        <v>114</v>
      </c>
      <c r="B5830" s="89" t="s">
        <v>616</v>
      </c>
      <c r="C5830" s="89">
        <v>850810</v>
      </c>
      <c r="D5830" s="89" t="s">
        <v>666</v>
      </c>
    </row>
    <row r="5831" spans="1:4" x14ac:dyDescent="0.25">
      <c r="A5831" s="89" t="s">
        <v>114</v>
      </c>
      <c r="B5831" s="89" t="s">
        <v>616</v>
      </c>
      <c r="C5831" s="89">
        <v>50000</v>
      </c>
      <c r="D5831" s="89" t="s">
        <v>666</v>
      </c>
    </row>
    <row r="5832" spans="1:4" x14ac:dyDescent="0.25">
      <c r="A5832" s="89" t="s">
        <v>114</v>
      </c>
      <c r="B5832" s="89" t="s">
        <v>616</v>
      </c>
      <c r="C5832" s="89">
        <v>1225709</v>
      </c>
      <c r="D5832" s="89" t="s">
        <v>664</v>
      </c>
    </row>
    <row r="5833" spans="1:4" x14ac:dyDescent="0.25">
      <c r="A5833" s="89" t="s">
        <v>114</v>
      </c>
      <c r="B5833" s="89" t="s">
        <v>616</v>
      </c>
      <c r="C5833" s="89">
        <v>1417537.5</v>
      </c>
      <c r="D5833" s="89" t="s">
        <v>666</v>
      </c>
    </row>
    <row r="5834" spans="1:4" x14ac:dyDescent="0.25">
      <c r="A5834" s="89" t="s">
        <v>114</v>
      </c>
      <c r="B5834" s="89" t="s">
        <v>616</v>
      </c>
      <c r="C5834" s="89">
        <v>1251279.46</v>
      </c>
      <c r="D5834" s="89" t="s">
        <v>666</v>
      </c>
    </row>
    <row r="5835" spans="1:4" x14ac:dyDescent="0.25">
      <c r="A5835" s="89" t="s">
        <v>114</v>
      </c>
      <c r="B5835" s="89" t="s">
        <v>616</v>
      </c>
      <c r="C5835" s="89">
        <v>567080</v>
      </c>
      <c r="D5835" s="89" t="s">
        <v>664</v>
      </c>
    </row>
    <row r="5836" spans="1:4" x14ac:dyDescent="0.25">
      <c r="A5836" s="89" t="s">
        <v>114</v>
      </c>
      <c r="B5836" s="89" t="s">
        <v>616</v>
      </c>
      <c r="C5836" s="89">
        <v>2722.12</v>
      </c>
      <c r="D5836" s="89" t="s">
        <v>664</v>
      </c>
    </row>
    <row r="5837" spans="1:4" x14ac:dyDescent="0.25">
      <c r="A5837" s="89" t="s">
        <v>114</v>
      </c>
      <c r="B5837" s="89" t="s">
        <v>616</v>
      </c>
      <c r="C5837" s="89">
        <v>1253159.3400000001</v>
      </c>
      <c r="D5837" s="89" t="s">
        <v>666</v>
      </c>
    </row>
    <row r="5838" spans="1:4" x14ac:dyDescent="0.25">
      <c r="A5838" s="89" t="s">
        <v>114</v>
      </c>
      <c r="B5838" s="89" t="s">
        <v>616</v>
      </c>
      <c r="C5838" s="89">
        <v>557378.31000000006</v>
      </c>
      <c r="D5838" s="89" t="s">
        <v>666</v>
      </c>
    </row>
    <row r="5839" spans="1:4" x14ac:dyDescent="0.25">
      <c r="A5839" s="89" t="s">
        <v>114</v>
      </c>
      <c r="B5839" s="89" t="s">
        <v>616</v>
      </c>
      <c r="C5839" s="89">
        <v>-2873.55</v>
      </c>
      <c r="D5839" s="89" t="s">
        <v>663</v>
      </c>
    </row>
    <row r="5840" spans="1:4" x14ac:dyDescent="0.25">
      <c r="A5840" s="89" t="s">
        <v>114</v>
      </c>
      <c r="B5840" s="89" t="s">
        <v>616</v>
      </c>
      <c r="C5840" s="89">
        <v>2494427</v>
      </c>
      <c r="D5840" s="89" t="s">
        <v>663</v>
      </c>
    </row>
    <row r="5841" spans="1:4" x14ac:dyDescent="0.25">
      <c r="A5841" s="89" t="s">
        <v>114</v>
      </c>
      <c r="B5841" s="89" t="s">
        <v>616</v>
      </c>
      <c r="C5841" s="89">
        <v>3715326.91</v>
      </c>
      <c r="D5841" s="89" t="s">
        <v>663</v>
      </c>
    </row>
    <row r="5842" spans="1:4" x14ac:dyDescent="0.25">
      <c r="A5842" s="89" t="s">
        <v>114</v>
      </c>
      <c r="B5842" s="89" t="s">
        <v>616</v>
      </c>
      <c r="C5842" s="89">
        <v>2414.66</v>
      </c>
      <c r="D5842" s="89" t="s">
        <v>664</v>
      </c>
    </row>
    <row r="5843" spans="1:4" x14ac:dyDescent="0.25">
      <c r="A5843" s="89" t="s">
        <v>114</v>
      </c>
      <c r="B5843" s="89" t="s">
        <v>616</v>
      </c>
      <c r="C5843" s="89">
        <v>371336.39</v>
      </c>
      <c r="D5843" s="89" t="s">
        <v>664</v>
      </c>
    </row>
    <row r="5844" spans="1:4" x14ac:dyDescent="0.25">
      <c r="A5844" s="89" t="s">
        <v>114</v>
      </c>
      <c r="B5844" s="89" t="s">
        <v>616</v>
      </c>
      <c r="C5844" s="89">
        <v>545453.88</v>
      </c>
      <c r="D5844" s="89" t="s">
        <v>666</v>
      </c>
    </row>
    <row r="5845" spans="1:4" x14ac:dyDescent="0.25">
      <c r="A5845" s="89" t="s">
        <v>114</v>
      </c>
      <c r="B5845" s="89" t="s">
        <v>616</v>
      </c>
      <c r="C5845" s="89">
        <v>50000</v>
      </c>
      <c r="D5845" s="89" t="s">
        <v>666</v>
      </c>
    </row>
    <row r="5846" spans="1:4" x14ac:dyDescent="0.25">
      <c r="A5846" s="89" t="s">
        <v>114</v>
      </c>
      <c r="B5846" s="89" t="s">
        <v>616</v>
      </c>
      <c r="C5846" s="89">
        <v>1103383.21</v>
      </c>
      <c r="D5846" s="89" t="s">
        <v>664</v>
      </c>
    </row>
    <row r="5847" spans="1:4" x14ac:dyDescent="0.25">
      <c r="A5847" s="89" t="s">
        <v>114</v>
      </c>
      <c r="B5847" s="89" t="s">
        <v>616</v>
      </c>
      <c r="C5847" s="89">
        <v>12369493</v>
      </c>
      <c r="D5847" s="89" t="s">
        <v>663</v>
      </c>
    </row>
    <row r="5848" spans="1:4" x14ac:dyDescent="0.25">
      <c r="A5848" s="89" t="s">
        <v>114</v>
      </c>
      <c r="B5848" s="89" t="s">
        <v>616</v>
      </c>
      <c r="C5848" s="89">
        <v>877692</v>
      </c>
      <c r="D5848" s="89" t="s">
        <v>663</v>
      </c>
    </row>
    <row r="5849" spans="1:4" x14ac:dyDescent="0.25">
      <c r="A5849" s="89" t="s">
        <v>114</v>
      </c>
      <c r="B5849" s="89" t="s">
        <v>616</v>
      </c>
      <c r="C5849" s="89">
        <v>50000</v>
      </c>
      <c r="D5849" s="89" t="s">
        <v>666</v>
      </c>
    </row>
    <row r="5850" spans="1:4" x14ac:dyDescent="0.25">
      <c r="A5850" s="89" t="s">
        <v>668</v>
      </c>
      <c r="B5850" s="89" t="s">
        <v>616</v>
      </c>
      <c r="C5850" s="89">
        <v>2355253.7000000002</v>
      </c>
      <c r="D5850" s="89" t="s">
        <v>663</v>
      </c>
    </row>
    <row r="5851" spans="1:4" x14ac:dyDescent="0.25">
      <c r="A5851" s="89" t="s">
        <v>668</v>
      </c>
      <c r="B5851" s="89" t="s">
        <v>616</v>
      </c>
      <c r="C5851" s="89">
        <v>391212.46</v>
      </c>
      <c r="D5851" s="89" t="s">
        <v>666</v>
      </c>
    </row>
    <row r="5852" spans="1:4" x14ac:dyDescent="0.25">
      <c r="A5852" s="89" t="s">
        <v>668</v>
      </c>
      <c r="B5852" s="89" t="s">
        <v>616</v>
      </c>
      <c r="C5852" s="89">
        <v>331000</v>
      </c>
      <c r="D5852" s="89" t="s">
        <v>663</v>
      </c>
    </row>
    <row r="5853" spans="1:4" x14ac:dyDescent="0.25">
      <c r="A5853" s="89" t="s">
        <v>668</v>
      </c>
      <c r="B5853" s="89" t="s">
        <v>616</v>
      </c>
      <c r="C5853" s="89">
        <v>262439</v>
      </c>
      <c r="D5853" s="89" t="s">
        <v>663</v>
      </c>
    </row>
    <row r="5854" spans="1:4" x14ac:dyDescent="0.25">
      <c r="A5854" s="89" t="s">
        <v>668</v>
      </c>
      <c r="B5854" s="89" t="s">
        <v>616</v>
      </c>
      <c r="C5854" s="89">
        <v>93927.9</v>
      </c>
      <c r="D5854" s="89" t="s">
        <v>666</v>
      </c>
    </row>
    <row r="5855" spans="1:4" x14ac:dyDescent="0.25">
      <c r="A5855" s="89" t="s">
        <v>668</v>
      </c>
      <c r="B5855" s="89" t="s">
        <v>616</v>
      </c>
      <c r="C5855" s="89">
        <v>938858.56</v>
      </c>
      <c r="D5855" s="89" t="s">
        <v>663</v>
      </c>
    </row>
    <row r="5856" spans="1:4" x14ac:dyDescent="0.25">
      <c r="A5856" s="89" t="s">
        <v>668</v>
      </c>
      <c r="B5856" s="89" t="s">
        <v>616</v>
      </c>
      <c r="C5856" s="89">
        <v>747301</v>
      </c>
      <c r="D5856" s="89" t="s">
        <v>663</v>
      </c>
    </row>
    <row r="5857" spans="1:4" x14ac:dyDescent="0.25">
      <c r="A5857" s="89" t="s">
        <v>668</v>
      </c>
      <c r="B5857" s="89" t="s">
        <v>616</v>
      </c>
      <c r="C5857" s="89">
        <v>101892.31</v>
      </c>
      <c r="D5857" s="89" t="s">
        <v>666</v>
      </c>
    </row>
    <row r="5858" spans="1:4" x14ac:dyDescent="0.25">
      <c r="A5858" s="89" t="s">
        <v>107</v>
      </c>
      <c r="B5858" s="89" t="s">
        <v>616</v>
      </c>
      <c r="C5858" s="89">
        <v>156250</v>
      </c>
      <c r="D5858" s="89" t="s">
        <v>663</v>
      </c>
    </row>
    <row r="5859" spans="1:4" x14ac:dyDescent="0.25">
      <c r="A5859" s="89" t="s">
        <v>107</v>
      </c>
      <c r="B5859" s="89" t="s">
        <v>616</v>
      </c>
      <c r="C5859" s="89">
        <v>525205.25</v>
      </c>
      <c r="D5859" s="89" t="s">
        <v>666</v>
      </c>
    </row>
    <row r="5860" spans="1:4" x14ac:dyDescent="0.25">
      <c r="A5860" s="89" t="s">
        <v>107</v>
      </c>
      <c r="B5860" s="89" t="s">
        <v>616</v>
      </c>
      <c r="C5860" s="89">
        <v>304923</v>
      </c>
      <c r="D5860" s="89" t="s">
        <v>664</v>
      </c>
    </row>
    <row r="5861" spans="1:4" x14ac:dyDescent="0.25">
      <c r="A5861" s="89" t="s">
        <v>107</v>
      </c>
      <c r="B5861" s="89" t="s">
        <v>616</v>
      </c>
      <c r="C5861" s="89">
        <v>135047</v>
      </c>
      <c r="D5861" s="89" t="s">
        <v>663</v>
      </c>
    </row>
    <row r="5862" spans="1:4" x14ac:dyDescent="0.25">
      <c r="A5862" s="89" t="s">
        <v>107</v>
      </c>
      <c r="B5862" s="89" t="s">
        <v>616</v>
      </c>
      <c r="C5862" s="89">
        <v>834021</v>
      </c>
      <c r="D5862" s="89" t="s">
        <v>664</v>
      </c>
    </row>
    <row r="5863" spans="1:4" x14ac:dyDescent="0.25">
      <c r="A5863" s="89" t="s">
        <v>107</v>
      </c>
      <c r="B5863" s="89" t="s">
        <v>616</v>
      </c>
      <c r="C5863" s="89">
        <v>1353759</v>
      </c>
      <c r="D5863" s="89" t="s">
        <v>663</v>
      </c>
    </row>
    <row r="5864" spans="1:4" x14ac:dyDescent="0.25">
      <c r="A5864" s="89" t="s">
        <v>107</v>
      </c>
      <c r="B5864" s="89" t="s">
        <v>616</v>
      </c>
      <c r="C5864" s="89">
        <v>806743</v>
      </c>
      <c r="D5864" s="89" t="s">
        <v>666</v>
      </c>
    </row>
    <row r="5865" spans="1:4" x14ac:dyDescent="0.25">
      <c r="A5865" s="89" t="s">
        <v>107</v>
      </c>
      <c r="B5865" s="89" t="s">
        <v>616</v>
      </c>
      <c r="C5865" s="89">
        <v>636473</v>
      </c>
      <c r="D5865" s="89" t="s">
        <v>663</v>
      </c>
    </row>
    <row r="5866" spans="1:4" x14ac:dyDescent="0.25">
      <c r="A5866" s="89" t="s">
        <v>107</v>
      </c>
      <c r="B5866" s="89" t="s">
        <v>616</v>
      </c>
      <c r="C5866" s="89">
        <v>1461532</v>
      </c>
      <c r="D5866" s="89" t="s">
        <v>664</v>
      </c>
    </row>
    <row r="5867" spans="1:4" x14ac:dyDescent="0.25">
      <c r="A5867" s="89" t="s">
        <v>107</v>
      </c>
      <c r="B5867" s="89" t="s">
        <v>616</v>
      </c>
      <c r="C5867" s="89">
        <v>982019</v>
      </c>
      <c r="D5867" s="89" t="s">
        <v>663</v>
      </c>
    </row>
    <row r="5868" spans="1:4" x14ac:dyDescent="0.25">
      <c r="A5868" s="89" t="s">
        <v>107</v>
      </c>
      <c r="B5868" s="89" t="s">
        <v>616</v>
      </c>
      <c r="C5868" s="89">
        <v>813573</v>
      </c>
      <c r="D5868" s="89" t="s">
        <v>664</v>
      </c>
    </row>
    <row r="5869" spans="1:4" x14ac:dyDescent="0.25">
      <c r="A5869" s="89" t="s">
        <v>107</v>
      </c>
      <c r="B5869" s="89" t="s">
        <v>616</v>
      </c>
      <c r="C5869" s="89">
        <v>657737.05000000005</v>
      </c>
      <c r="D5869" s="89" t="s">
        <v>666</v>
      </c>
    </row>
    <row r="5870" spans="1:4" x14ac:dyDescent="0.25">
      <c r="A5870" s="89" t="s">
        <v>107</v>
      </c>
      <c r="B5870" s="89" t="s">
        <v>616</v>
      </c>
      <c r="C5870" s="89">
        <v>269488.7</v>
      </c>
      <c r="D5870" s="89" t="s">
        <v>666</v>
      </c>
    </row>
    <row r="5871" spans="1:4" x14ac:dyDescent="0.25">
      <c r="A5871" s="89" t="s">
        <v>107</v>
      </c>
      <c r="B5871" s="89" t="s">
        <v>616</v>
      </c>
      <c r="C5871" s="89">
        <v>94010</v>
      </c>
      <c r="D5871" s="89" t="s">
        <v>663</v>
      </c>
    </row>
    <row r="5872" spans="1:4" x14ac:dyDescent="0.25">
      <c r="A5872" s="89" t="s">
        <v>107</v>
      </c>
      <c r="B5872" s="89" t="s">
        <v>616</v>
      </c>
      <c r="C5872" s="89">
        <v>284500</v>
      </c>
      <c r="D5872" s="89" t="s">
        <v>663</v>
      </c>
    </row>
    <row r="5873" spans="1:4" x14ac:dyDescent="0.25">
      <c r="A5873" s="89" t="s">
        <v>107</v>
      </c>
      <c r="B5873" s="89" t="s">
        <v>616</v>
      </c>
      <c r="C5873" s="89">
        <v>1321204.5</v>
      </c>
      <c r="D5873" s="89" t="s">
        <v>666</v>
      </c>
    </row>
    <row r="5874" spans="1:4" x14ac:dyDescent="0.25">
      <c r="A5874" s="89" t="s">
        <v>107</v>
      </c>
      <c r="B5874" s="89" t="s">
        <v>616</v>
      </c>
      <c r="C5874" s="89">
        <v>2172248</v>
      </c>
      <c r="D5874" s="89" t="s">
        <v>664</v>
      </c>
    </row>
    <row r="5875" spans="1:4" x14ac:dyDescent="0.25">
      <c r="A5875" s="89" t="s">
        <v>107</v>
      </c>
      <c r="B5875" s="89" t="s">
        <v>616</v>
      </c>
      <c r="C5875" s="89">
        <v>183014</v>
      </c>
      <c r="D5875" s="89" t="s">
        <v>666</v>
      </c>
    </row>
    <row r="5876" spans="1:4" x14ac:dyDescent="0.25">
      <c r="A5876" s="89" t="s">
        <v>107</v>
      </c>
      <c r="B5876" s="89" t="s">
        <v>616</v>
      </c>
      <c r="C5876" s="89">
        <v>316471.02</v>
      </c>
      <c r="D5876" s="89" t="s">
        <v>666</v>
      </c>
    </row>
    <row r="5877" spans="1:4" x14ac:dyDescent="0.25">
      <c r="A5877" s="89" t="s">
        <v>107</v>
      </c>
      <c r="B5877" s="89" t="s">
        <v>616</v>
      </c>
      <c r="C5877" s="89">
        <v>1053528.3</v>
      </c>
      <c r="D5877" s="89" t="s">
        <v>666</v>
      </c>
    </row>
    <row r="5878" spans="1:4" x14ac:dyDescent="0.25">
      <c r="A5878" s="89" t="s">
        <v>107</v>
      </c>
      <c r="B5878" s="89" t="s">
        <v>616</v>
      </c>
      <c r="C5878" s="89">
        <v>676469</v>
      </c>
      <c r="D5878" s="89" t="s">
        <v>666</v>
      </c>
    </row>
    <row r="5879" spans="1:4" x14ac:dyDescent="0.25">
      <c r="A5879" s="89" t="s">
        <v>107</v>
      </c>
      <c r="B5879" s="89" t="s">
        <v>616</v>
      </c>
      <c r="C5879" s="89">
        <v>2139277</v>
      </c>
      <c r="D5879" s="89" t="s">
        <v>663</v>
      </c>
    </row>
    <row r="5880" spans="1:4" x14ac:dyDescent="0.25">
      <c r="A5880" s="89" t="s">
        <v>107</v>
      </c>
      <c r="B5880" s="89" t="s">
        <v>616</v>
      </c>
      <c r="C5880" s="89">
        <v>35740.67</v>
      </c>
      <c r="D5880" s="89" t="s">
        <v>664</v>
      </c>
    </row>
    <row r="5881" spans="1:4" x14ac:dyDescent="0.25">
      <c r="A5881" s="89" t="s">
        <v>107</v>
      </c>
      <c r="B5881" s="89" t="s">
        <v>616</v>
      </c>
      <c r="C5881" s="89">
        <v>2385536</v>
      </c>
      <c r="D5881" s="89" t="s">
        <v>664</v>
      </c>
    </row>
    <row r="5882" spans="1:4" x14ac:dyDescent="0.25">
      <c r="A5882" s="89" t="s">
        <v>107</v>
      </c>
      <c r="B5882" s="89" t="s">
        <v>616</v>
      </c>
      <c r="C5882" s="89">
        <v>3808192</v>
      </c>
      <c r="D5882" s="89" t="s">
        <v>663</v>
      </c>
    </row>
    <row r="5883" spans="1:4" x14ac:dyDescent="0.25">
      <c r="A5883" s="89" t="s">
        <v>107</v>
      </c>
      <c r="B5883" s="89" t="s">
        <v>616</v>
      </c>
      <c r="C5883" s="89">
        <v>1000247</v>
      </c>
      <c r="D5883" s="89" t="s">
        <v>664</v>
      </c>
    </row>
    <row r="5884" spans="1:4" x14ac:dyDescent="0.25">
      <c r="A5884" s="89" t="s">
        <v>107</v>
      </c>
      <c r="B5884" s="89" t="s">
        <v>616</v>
      </c>
      <c r="C5884" s="89">
        <v>250000</v>
      </c>
      <c r="D5884" s="89" t="s">
        <v>663</v>
      </c>
    </row>
    <row r="5885" spans="1:4" x14ac:dyDescent="0.25">
      <c r="A5885" s="89" t="s">
        <v>107</v>
      </c>
      <c r="B5885" s="89" t="s">
        <v>616</v>
      </c>
      <c r="C5885" s="89">
        <v>320000</v>
      </c>
      <c r="D5885" s="89" t="s">
        <v>666</v>
      </c>
    </row>
    <row r="5886" spans="1:4" x14ac:dyDescent="0.25">
      <c r="A5886" s="89" t="s">
        <v>107</v>
      </c>
      <c r="B5886" s="89" t="s">
        <v>616</v>
      </c>
      <c r="C5886" s="89">
        <v>663832</v>
      </c>
      <c r="D5886" s="89" t="s">
        <v>664</v>
      </c>
    </row>
    <row r="5887" spans="1:4" x14ac:dyDescent="0.25">
      <c r="A5887" s="89" t="s">
        <v>107</v>
      </c>
      <c r="B5887" s="89" t="s">
        <v>616</v>
      </c>
      <c r="C5887" s="89">
        <v>200000</v>
      </c>
      <c r="D5887" s="89" t="s">
        <v>664</v>
      </c>
    </row>
    <row r="5888" spans="1:4" x14ac:dyDescent="0.25">
      <c r="A5888" s="89" t="s">
        <v>107</v>
      </c>
      <c r="B5888" s="89" t="s">
        <v>616</v>
      </c>
      <c r="C5888" s="89">
        <v>3260384.8</v>
      </c>
      <c r="D5888" s="89" t="s">
        <v>664</v>
      </c>
    </row>
    <row r="5889" spans="1:4" x14ac:dyDescent="0.25">
      <c r="A5889" s="89" t="s">
        <v>107</v>
      </c>
      <c r="B5889" s="89" t="s">
        <v>616</v>
      </c>
      <c r="C5889" s="89">
        <v>1784352</v>
      </c>
      <c r="D5889" s="89" t="s">
        <v>664</v>
      </c>
    </row>
    <row r="5890" spans="1:4" x14ac:dyDescent="0.25">
      <c r="A5890" s="89" t="s">
        <v>107</v>
      </c>
      <c r="B5890" s="89" t="s">
        <v>616</v>
      </c>
      <c r="C5890" s="89">
        <v>2205368</v>
      </c>
      <c r="D5890" s="89" t="s">
        <v>663</v>
      </c>
    </row>
    <row r="5891" spans="1:4" x14ac:dyDescent="0.25">
      <c r="A5891" s="89" t="s">
        <v>107</v>
      </c>
      <c r="B5891" s="89" t="s">
        <v>616</v>
      </c>
      <c r="C5891" s="89">
        <v>1773552</v>
      </c>
      <c r="D5891" s="89" t="s">
        <v>664</v>
      </c>
    </row>
    <row r="5892" spans="1:4" x14ac:dyDescent="0.25">
      <c r="A5892" s="89" t="s">
        <v>107</v>
      </c>
      <c r="B5892" s="89" t="s">
        <v>616</v>
      </c>
      <c r="C5892" s="89">
        <v>620897</v>
      </c>
      <c r="D5892" s="89" t="s">
        <v>664</v>
      </c>
    </row>
    <row r="5893" spans="1:4" x14ac:dyDescent="0.25">
      <c r="A5893" s="89" t="s">
        <v>107</v>
      </c>
      <c r="B5893" s="89" t="s">
        <v>616</v>
      </c>
      <c r="C5893" s="89">
        <v>1030600</v>
      </c>
      <c r="D5893" s="89" t="s">
        <v>664</v>
      </c>
    </row>
    <row r="5894" spans="1:4" x14ac:dyDescent="0.25">
      <c r="A5894" s="89" t="s">
        <v>107</v>
      </c>
      <c r="B5894" s="89" t="s">
        <v>616</v>
      </c>
      <c r="C5894" s="89">
        <v>1098180</v>
      </c>
      <c r="D5894" s="89" t="s">
        <v>664</v>
      </c>
    </row>
    <row r="5895" spans="1:4" x14ac:dyDescent="0.25">
      <c r="A5895" s="89" t="s">
        <v>107</v>
      </c>
      <c r="B5895" s="89" t="s">
        <v>616</v>
      </c>
      <c r="C5895" s="89">
        <v>671531.79</v>
      </c>
      <c r="D5895" s="89" t="s">
        <v>663</v>
      </c>
    </row>
    <row r="5896" spans="1:4" x14ac:dyDescent="0.25">
      <c r="A5896" s="89" t="s">
        <v>107</v>
      </c>
      <c r="B5896" s="89" t="s">
        <v>616</v>
      </c>
      <c r="C5896" s="89">
        <v>50000</v>
      </c>
      <c r="D5896" s="89" t="s">
        <v>666</v>
      </c>
    </row>
    <row r="5897" spans="1:4" x14ac:dyDescent="0.25">
      <c r="A5897" s="89" t="s">
        <v>107</v>
      </c>
      <c r="B5897" s="89" t="s">
        <v>616</v>
      </c>
      <c r="C5897" s="89">
        <v>1769457</v>
      </c>
      <c r="D5897" s="89" t="s">
        <v>666</v>
      </c>
    </row>
    <row r="5898" spans="1:4" x14ac:dyDescent="0.25">
      <c r="A5898" s="89" t="s">
        <v>107</v>
      </c>
      <c r="B5898" s="89" t="s">
        <v>616</v>
      </c>
      <c r="C5898" s="89">
        <v>1744090.21</v>
      </c>
      <c r="D5898" s="89" t="s">
        <v>663</v>
      </c>
    </row>
    <row r="5899" spans="1:4" x14ac:dyDescent="0.25">
      <c r="A5899" s="89" t="s">
        <v>68</v>
      </c>
      <c r="B5899" s="89" t="s">
        <v>616</v>
      </c>
      <c r="C5899" s="89">
        <v>107046</v>
      </c>
      <c r="D5899" s="89" t="s">
        <v>666</v>
      </c>
    </row>
    <row r="5900" spans="1:4" x14ac:dyDescent="0.25">
      <c r="A5900" s="89" t="s">
        <v>68</v>
      </c>
      <c r="B5900" s="89" t="s">
        <v>616</v>
      </c>
      <c r="C5900" s="89">
        <v>2549963</v>
      </c>
      <c r="D5900" s="89" t="s">
        <v>663</v>
      </c>
    </row>
    <row r="5901" spans="1:4" x14ac:dyDescent="0.25">
      <c r="A5901" s="89" t="s">
        <v>68</v>
      </c>
      <c r="B5901" s="89" t="s">
        <v>616</v>
      </c>
      <c r="C5901" s="89">
        <v>575242</v>
      </c>
      <c r="D5901" s="89" t="s">
        <v>664</v>
      </c>
    </row>
    <row r="5902" spans="1:4" x14ac:dyDescent="0.25">
      <c r="A5902" s="89" t="s">
        <v>68</v>
      </c>
      <c r="B5902" s="89" t="s">
        <v>616</v>
      </c>
      <c r="C5902" s="89">
        <v>1664789</v>
      </c>
      <c r="D5902" s="89" t="s">
        <v>666</v>
      </c>
    </row>
    <row r="5903" spans="1:4" x14ac:dyDescent="0.25">
      <c r="A5903" s="89" t="s">
        <v>68</v>
      </c>
      <c r="B5903" s="89" t="s">
        <v>616</v>
      </c>
      <c r="C5903" s="89">
        <v>2494446</v>
      </c>
      <c r="D5903" s="89" t="s">
        <v>663</v>
      </c>
    </row>
    <row r="5904" spans="1:4" x14ac:dyDescent="0.25">
      <c r="A5904" s="89" t="s">
        <v>68</v>
      </c>
      <c r="B5904" s="89" t="s">
        <v>616</v>
      </c>
      <c r="C5904" s="89">
        <v>1371225</v>
      </c>
      <c r="D5904" s="89" t="s">
        <v>663</v>
      </c>
    </row>
    <row r="5905" spans="1:4" x14ac:dyDescent="0.25">
      <c r="A5905" s="89" t="s">
        <v>68</v>
      </c>
      <c r="B5905" s="89" t="s">
        <v>616</v>
      </c>
      <c r="C5905" s="89">
        <v>1697786</v>
      </c>
      <c r="D5905" s="89" t="s">
        <v>664</v>
      </c>
    </row>
    <row r="5906" spans="1:4" x14ac:dyDescent="0.25">
      <c r="A5906" s="89" t="s">
        <v>68</v>
      </c>
      <c r="B5906" s="89" t="s">
        <v>616</v>
      </c>
      <c r="C5906" s="89">
        <v>2318358</v>
      </c>
      <c r="D5906" s="89" t="s">
        <v>663</v>
      </c>
    </row>
    <row r="5907" spans="1:4" x14ac:dyDescent="0.25">
      <c r="A5907" s="89" t="s">
        <v>68</v>
      </c>
      <c r="B5907" s="89" t="s">
        <v>616</v>
      </c>
      <c r="C5907" s="89">
        <v>2371367</v>
      </c>
      <c r="D5907" s="89" t="s">
        <v>663</v>
      </c>
    </row>
    <row r="5908" spans="1:4" x14ac:dyDescent="0.25">
      <c r="A5908" s="89" t="s">
        <v>68</v>
      </c>
      <c r="B5908" s="89" t="s">
        <v>616</v>
      </c>
      <c r="C5908" s="89">
        <v>945091</v>
      </c>
      <c r="D5908" s="89" t="s">
        <v>666</v>
      </c>
    </row>
    <row r="5909" spans="1:4" x14ac:dyDescent="0.25">
      <c r="A5909" s="89" t="s">
        <v>68</v>
      </c>
      <c r="B5909" s="89" t="s">
        <v>616</v>
      </c>
      <c r="C5909" s="89">
        <v>237294</v>
      </c>
      <c r="D5909" s="89" t="s">
        <v>664</v>
      </c>
    </row>
    <row r="5910" spans="1:4" x14ac:dyDescent="0.25">
      <c r="A5910" s="89" t="s">
        <v>68</v>
      </c>
      <c r="B5910" s="89" t="s">
        <v>616</v>
      </c>
      <c r="C5910" s="89">
        <v>2061449.07</v>
      </c>
      <c r="D5910" s="89" t="s">
        <v>663</v>
      </c>
    </row>
    <row r="5911" spans="1:4" x14ac:dyDescent="0.25">
      <c r="A5911" s="89" t="s">
        <v>68</v>
      </c>
      <c r="B5911" s="89" t="s">
        <v>616</v>
      </c>
      <c r="C5911" s="89">
        <v>804344</v>
      </c>
      <c r="D5911" s="89" t="s">
        <v>663</v>
      </c>
    </row>
    <row r="5912" spans="1:4" x14ac:dyDescent="0.25">
      <c r="A5912" s="89" t="s">
        <v>68</v>
      </c>
      <c r="B5912" s="89" t="s">
        <v>616</v>
      </c>
      <c r="C5912" s="89">
        <v>131664</v>
      </c>
      <c r="D5912" s="89" t="s">
        <v>664</v>
      </c>
    </row>
    <row r="5913" spans="1:4" x14ac:dyDescent="0.25">
      <c r="A5913" s="89" t="s">
        <v>68</v>
      </c>
      <c r="B5913" s="89" t="s">
        <v>616</v>
      </c>
      <c r="C5913" s="89">
        <v>311178</v>
      </c>
      <c r="D5913" s="89" t="s">
        <v>666</v>
      </c>
    </row>
    <row r="5914" spans="1:4" x14ac:dyDescent="0.25">
      <c r="A5914" s="89" t="s">
        <v>68</v>
      </c>
      <c r="B5914" s="89" t="s">
        <v>616</v>
      </c>
      <c r="C5914" s="89">
        <v>1338673</v>
      </c>
      <c r="D5914" s="89" t="s">
        <v>663</v>
      </c>
    </row>
    <row r="5915" spans="1:4" x14ac:dyDescent="0.25">
      <c r="A5915" s="89" t="s">
        <v>68</v>
      </c>
      <c r="B5915" s="89" t="s">
        <v>616</v>
      </c>
      <c r="C5915" s="89">
        <v>1956962</v>
      </c>
      <c r="D5915" s="89" t="s">
        <v>663</v>
      </c>
    </row>
    <row r="5916" spans="1:4" x14ac:dyDescent="0.25">
      <c r="A5916" s="89" t="s">
        <v>68</v>
      </c>
      <c r="B5916" s="89" t="s">
        <v>616</v>
      </c>
      <c r="C5916" s="89">
        <v>90423</v>
      </c>
      <c r="D5916" s="89" t="s">
        <v>664</v>
      </c>
    </row>
    <row r="5917" spans="1:4" x14ac:dyDescent="0.25">
      <c r="A5917" s="89" t="s">
        <v>68</v>
      </c>
      <c r="B5917" s="89" t="s">
        <v>616</v>
      </c>
      <c r="C5917" s="89">
        <v>552416</v>
      </c>
      <c r="D5917" s="89" t="s">
        <v>666</v>
      </c>
    </row>
    <row r="5918" spans="1:4" x14ac:dyDescent="0.25">
      <c r="A5918" s="89" t="s">
        <v>68</v>
      </c>
      <c r="B5918" s="89" t="s">
        <v>616</v>
      </c>
      <c r="C5918" s="89">
        <v>4839353</v>
      </c>
      <c r="D5918" s="89" t="s">
        <v>663</v>
      </c>
    </row>
    <row r="5919" spans="1:4" x14ac:dyDescent="0.25">
      <c r="A5919" s="89" t="s">
        <v>68</v>
      </c>
      <c r="B5919" s="89" t="s">
        <v>616</v>
      </c>
      <c r="C5919" s="89">
        <v>3312557</v>
      </c>
      <c r="D5919" s="89" t="s">
        <v>664</v>
      </c>
    </row>
    <row r="5920" spans="1:4" x14ac:dyDescent="0.25">
      <c r="A5920" s="89" t="s">
        <v>68</v>
      </c>
      <c r="B5920" s="89" t="s">
        <v>616</v>
      </c>
      <c r="C5920" s="89">
        <v>1912195</v>
      </c>
      <c r="D5920" s="89" t="s">
        <v>663</v>
      </c>
    </row>
    <row r="5921" spans="1:4" x14ac:dyDescent="0.25">
      <c r="A5921" s="89" t="s">
        <v>68</v>
      </c>
      <c r="B5921" s="89" t="s">
        <v>616</v>
      </c>
      <c r="C5921" s="89">
        <v>1891134</v>
      </c>
      <c r="D5921" s="89" t="s">
        <v>663</v>
      </c>
    </row>
    <row r="5922" spans="1:4" x14ac:dyDescent="0.25">
      <c r="A5922" s="89" t="s">
        <v>68</v>
      </c>
      <c r="B5922" s="89" t="s">
        <v>616</v>
      </c>
      <c r="C5922" s="89">
        <v>254430</v>
      </c>
      <c r="D5922" s="89" t="s">
        <v>664</v>
      </c>
    </row>
    <row r="5923" spans="1:4" x14ac:dyDescent="0.25">
      <c r="A5923" s="89" t="s">
        <v>68</v>
      </c>
      <c r="B5923" s="89" t="s">
        <v>616</v>
      </c>
      <c r="C5923" s="89">
        <v>912162</v>
      </c>
      <c r="D5923" s="89" t="s">
        <v>663</v>
      </c>
    </row>
    <row r="5924" spans="1:4" x14ac:dyDescent="0.25">
      <c r="A5924" s="89" t="s">
        <v>68</v>
      </c>
      <c r="B5924" s="89" t="s">
        <v>616</v>
      </c>
      <c r="C5924" s="89">
        <v>5395638.6200000001</v>
      </c>
      <c r="D5924" s="89" t="s">
        <v>663</v>
      </c>
    </row>
    <row r="5925" spans="1:4" x14ac:dyDescent="0.25">
      <c r="A5925" s="89" t="s">
        <v>68</v>
      </c>
      <c r="B5925" s="89" t="s">
        <v>616</v>
      </c>
      <c r="C5925" s="89">
        <v>4810017</v>
      </c>
      <c r="D5925" s="89" t="s">
        <v>664</v>
      </c>
    </row>
    <row r="5926" spans="1:4" x14ac:dyDescent="0.25">
      <c r="A5926" s="89" t="s">
        <v>68</v>
      </c>
      <c r="B5926" s="89" t="s">
        <v>616</v>
      </c>
      <c r="C5926" s="89">
        <v>6059882</v>
      </c>
      <c r="D5926" s="89" t="s">
        <v>663</v>
      </c>
    </row>
    <row r="5927" spans="1:4" x14ac:dyDescent="0.25">
      <c r="A5927" s="89" t="s">
        <v>68</v>
      </c>
      <c r="B5927" s="89" t="s">
        <v>616</v>
      </c>
      <c r="C5927" s="89">
        <v>938774</v>
      </c>
      <c r="D5927" s="89" t="s">
        <v>664</v>
      </c>
    </row>
    <row r="5928" spans="1:4" x14ac:dyDescent="0.25">
      <c r="A5928" s="89" t="s">
        <v>68</v>
      </c>
      <c r="B5928" s="89" t="s">
        <v>616</v>
      </c>
      <c r="C5928" s="89">
        <v>4036068</v>
      </c>
      <c r="D5928" s="89" t="s">
        <v>663</v>
      </c>
    </row>
    <row r="5929" spans="1:4" x14ac:dyDescent="0.25">
      <c r="A5929" s="89" t="s">
        <v>68</v>
      </c>
      <c r="B5929" s="89" t="s">
        <v>616</v>
      </c>
      <c r="C5929" s="89">
        <v>2952336</v>
      </c>
      <c r="D5929" s="89" t="s">
        <v>666</v>
      </c>
    </row>
    <row r="5930" spans="1:4" x14ac:dyDescent="0.25">
      <c r="A5930" s="89" t="s">
        <v>68</v>
      </c>
      <c r="B5930" s="89" t="s">
        <v>616</v>
      </c>
      <c r="C5930" s="89">
        <v>9169983</v>
      </c>
      <c r="D5930" s="89" t="s">
        <v>664</v>
      </c>
    </row>
    <row r="5931" spans="1:4" x14ac:dyDescent="0.25">
      <c r="A5931" s="89" t="s">
        <v>68</v>
      </c>
      <c r="B5931" s="89" t="s">
        <v>616</v>
      </c>
      <c r="C5931" s="89">
        <v>8124000</v>
      </c>
      <c r="D5931" s="89" t="s">
        <v>663</v>
      </c>
    </row>
    <row r="5932" spans="1:4" x14ac:dyDescent="0.25">
      <c r="A5932" s="89" t="s">
        <v>68</v>
      </c>
      <c r="B5932" s="89" t="s">
        <v>616</v>
      </c>
      <c r="C5932" s="89">
        <v>4293088</v>
      </c>
      <c r="D5932" s="89" t="s">
        <v>666</v>
      </c>
    </row>
    <row r="5933" spans="1:4" x14ac:dyDescent="0.25">
      <c r="A5933" s="89" t="s">
        <v>68</v>
      </c>
      <c r="B5933" s="89" t="s">
        <v>616</v>
      </c>
      <c r="C5933" s="89">
        <v>7119925</v>
      </c>
      <c r="D5933" s="89" t="s">
        <v>663</v>
      </c>
    </row>
    <row r="5934" spans="1:4" x14ac:dyDescent="0.25">
      <c r="A5934" s="89" t="s">
        <v>68</v>
      </c>
      <c r="B5934" s="89" t="s">
        <v>616</v>
      </c>
      <c r="C5934" s="89">
        <v>2270152</v>
      </c>
      <c r="D5934" s="89" t="s">
        <v>664</v>
      </c>
    </row>
    <row r="5935" spans="1:4" x14ac:dyDescent="0.25">
      <c r="A5935" s="89" t="s">
        <v>68</v>
      </c>
      <c r="B5935" s="89" t="s">
        <v>616</v>
      </c>
      <c r="C5935" s="89">
        <v>6791959</v>
      </c>
      <c r="D5935" s="89" t="s">
        <v>664</v>
      </c>
    </row>
    <row r="5936" spans="1:4" x14ac:dyDescent="0.25">
      <c r="A5936" s="89" t="s">
        <v>68</v>
      </c>
      <c r="B5936" s="89" t="s">
        <v>616</v>
      </c>
      <c r="C5936" s="89">
        <v>1166000</v>
      </c>
      <c r="D5936" s="89" t="s">
        <v>663</v>
      </c>
    </row>
    <row r="5937" spans="1:4" x14ac:dyDescent="0.25">
      <c r="A5937" s="89" t="s">
        <v>68</v>
      </c>
      <c r="B5937" s="89" t="s">
        <v>616</v>
      </c>
      <c r="C5937" s="89">
        <v>4275123</v>
      </c>
      <c r="D5937" s="89" t="s">
        <v>663</v>
      </c>
    </row>
    <row r="5938" spans="1:4" x14ac:dyDescent="0.25">
      <c r="A5938" s="89" t="s">
        <v>68</v>
      </c>
      <c r="B5938" s="89" t="s">
        <v>616</v>
      </c>
      <c r="C5938" s="89">
        <v>945665</v>
      </c>
      <c r="D5938" s="89" t="s">
        <v>664</v>
      </c>
    </row>
    <row r="5939" spans="1:4" x14ac:dyDescent="0.25">
      <c r="A5939" s="89" t="s">
        <v>68</v>
      </c>
      <c r="B5939" s="89" t="s">
        <v>616</v>
      </c>
      <c r="C5939" s="89">
        <v>4045000</v>
      </c>
      <c r="D5939" s="89" t="s">
        <v>666</v>
      </c>
    </row>
    <row r="5940" spans="1:4" x14ac:dyDescent="0.25">
      <c r="A5940" s="89" t="s">
        <v>68</v>
      </c>
      <c r="B5940" s="89" t="s">
        <v>616</v>
      </c>
      <c r="C5940" s="89">
        <v>2070530.93</v>
      </c>
      <c r="D5940" s="89" t="s">
        <v>663</v>
      </c>
    </row>
    <row r="5941" spans="1:4" x14ac:dyDescent="0.25">
      <c r="A5941" s="89" t="s">
        <v>68</v>
      </c>
      <c r="B5941" s="89" t="s">
        <v>616</v>
      </c>
      <c r="C5941" s="89">
        <v>1100700</v>
      </c>
      <c r="D5941" s="89" t="s">
        <v>663</v>
      </c>
    </row>
    <row r="5942" spans="1:4" x14ac:dyDescent="0.25">
      <c r="A5942" s="89" t="s">
        <v>68</v>
      </c>
      <c r="B5942" s="89" t="s">
        <v>616</v>
      </c>
      <c r="C5942" s="89">
        <v>138789</v>
      </c>
      <c r="D5942" s="89" t="s">
        <v>664</v>
      </c>
    </row>
    <row r="5943" spans="1:4" x14ac:dyDescent="0.25">
      <c r="A5943" s="89" t="s">
        <v>68</v>
      </c>
      <c r="B5943" s="89" t="s">
        <v>616</v>
      </c>
      <c r="C5943" s="89">
        <v>437090.33</v>
      </c>
      <c r="D5943" s="89" t="s">
        <v>666</v>
      </c>
    </row>
    <row r="5944" spans="1:4" x14ac:dyDescent="0.25">
      <c r="A5944" s="89" t="s">
        <v>68</v>
      </c>
      <c r="B5944" s="89" t="s">
        <v>616</v>
      </c>
      <c r="C5944" s="89">
        <v>2636956</v>
      </c>
      <c r="D5944" s="89" t="s">
        <v>666</v>
      </c>
    </row>
    <row r="5945" spans="1:4" x14ac:dyDescent="0.25">
      <c r="A5945" s="89" t="s">
        <v>68</v>
      </c>
      <c r="B5945" s="89" t="s">
        <v>616</v>
      </c>
      <c r="C5945" s="89">
        <v>2131913.38</v>
      </c>
      <c r="D5945" s="89" t="s">
        <v>664</v>
      </c>
    </row>
    <row r="5946" spans="1:4" x14ac:dyDescent="0.25">
      <c r="A5946" s="89" t="s">
        <v>68</v>
      </c>
      <c r="B5946" s="89" t="s">
        <v>616</v>
      </c>
      <c r="C5946" s="89">
        <v>5414655</v>
      </c>
      <c r="D5946" s="89" t="s">
        <v>663</v>
      </c>
    </row>
    <row r="5947" spans="1:4" x14ac:dyDescent="0.25">
      <c r="A5947" s="89" t="s">
        <v>68</v>
      </c>
      <c r="B5947" s="89" t="s">
        <v>616</v>
      </c>
      <c r="C5947" s="89">
        <v>2042820.1</v>
      </c>
      <c r="D5947" s="89" t="s">
        <v>663</v>
      </c>
    </row>
    <row r="5948" spans="1:4" x14ac:dyDescent="0.25">
      <c r="A5948" s="89" t="s">
        <v>68</v>
      </c>
      <c r="B5948" s="89" t="s">
        <v>616</v>
      </c>
      <c r="C5948" s="89">
        <v>229148</v>
      </c>
      <c r="D5948" s="89" t="s">
        <v>666</v>
      </c>
    </row>
    <row r="5949" spans="1:4" x14ac:dyDescent="0.25">
      <c r="A5949" s="89" t="s">
        <v>68</v>
      </c>
      <c r="B5949" s="89" t="s">
        <v>616</v>
      </c>
      <c r="C5949" s="89">
        <v>18966781</v>
      </c>
      <c r="D5949" s="89" t="s">
        <v>663</v>
      </c>
    </row>
    <row r="5950" spans="1:4" x14ac:dyDescent="0.25">
      <c r="A5950" s="89" t="s">
        <v>68</v>
      </c>
      <c r="B5950" s="89" t="s">
        <v>616</v>
      </c>
      <c r="C5950" s="89">
        <v>390644.28</v>
      </c>
      <c r="D5950" s="89" t="s">
        <v>663</v>
      </c>
    </row>
    <row r="5951" spans="1:4" x14ac:dyDescent="0.25">
      <c r="A5951" s="89" t="s">
        <v>68</v>
      </c>
      <c r="B5951" s="89" t="s">
        <v>616</v>
      </c>
      <c r="C5951" s="89">
        <v>1448161</v>
      </c>
      <c r="D5951" s="89" t="s">
        <v>664</v>
      </c>
    </row>
    <row r="5952" spans="1:4" x14ac:dyDescent="0.25">
      <c r="A5952" s="89" t="s">
        <v>68</v>
      </c>
      <c r="B5952" s="89" t="s">
        <v>616</v>
      </c>
      <c r="C5952" s="89">
        <v>2528804.5</v>
      </c>
      <c r="D5952" s="89" t="s">
        <v>663</v>
      </c>
    </row>
    <row r="5953" spans="1:4" x14ac:dyDescent="0.25">
      <c r="A5953" s="89" t="s">
        <v>68</v>
      </c>
      <c r="B5953" s="89" t="s">
        <v>616</v>
      </c>
      <c r="C5953" s="89">
        <v>188883</v>
      </c>
      <c r="D5953" s="89" t="s">
        <v>663</v>
      </c>
    </row>
    <row r="5954" spans="1:4" x14ac:dyDescent="0.25">
      <c r="A5954" s="89" t="s">
        <v>68</v>
      </c>
      <c r="B5954" s="89" t="s">
        <v>616</v>
      </c>
      <c r="C5954" s="89">
        <v>171945</v>
      </c>
      <c r="D5954" s="89" t="s">
        <v>664</v>
      </c>
    </row>
    <row r="5955" spans="1:4" x14ac:dyDescent="0.25">
      <c r="A5955" s="89" t="s">
        <v>68</v>
      </c>
      <c r="B5955" s="89" t="s">
        <v>616</v>
      </c>
      <c r="C5955" s="89">
        <v>1020560</v>
      </c>
      <c r="D5955" s="89" t="s">
        <v>664</v>
      </c>
    </row>
    <row r="5956" spans="1:4" x14ac:dyDescent="0.25">
      <c r="A5956" s="89" t="s">
        <v>68</v>
      </c>
      <c r="B5956" s="89" t="s">
        <v>616</v>
      </c>
      <c r="C5956" s="89">
        <v>100794</v>
      </c>
      <c r="D5956" s="89" t="s">
        <v>666</v>
      </c>
    </row>
    <row r="5957" spans="1:4" x14ac:dyDescent="0.25">
      <c r="A5957" s="89" t="s">
        <v>68</v>
      </c>
      <c r="B5957" s="89" t="s">
        <v>616</v>
      </c>
      <c r="C5957" s="89">
        <v>17083583.780000001</v>
      </c>
      <c r="D5957" s="89" t="s">
        <v>663</v>
      </c>
    </row>
    <row r="5958" spans="1:4" x14ac:dyDescent="0.25">
      <c r="A5958" s="89" t="s">
        <v>68</v>
      </c>
      <c r="B5958" s="89" t="s">
        <v>616</v>
      </c>
      <c r="C5958" s="89">
        <v>2000836.88</v>
      </c>
      <c r="D5958" s="89" t="s">
        <v>664</v>
      </c>
    </row>
    <row r="5959" spans="1:4" x14ac:dyDescent="0.25">
      <c r="A5959" s="89" t="s">
        <v>68</v>
      </c>
      <c r="B5959" s="89" t="s">
        <v>616</v>
      </c>
      <c r="C5959" s="89">
        <v>8073394.71</v>
      </c>
      <c r="D5959" s="89" t="s">
        <v>663</v>
      </c>
    </row>
    <row r="5960" spans="1:4" x14ac:dyDescent="0.25">
      <c r="A5960" s="89" t="s">
        <v>68</v>
      </c>
      <c r="B5960" s="89" t="s">
        <v>616</v>
      </c>
      <c r="C5960" s="89">
        <v>582149</v>
      </c>
      <c r="D5960" s="89" t="s">
        <v>666</v>
      </c>
    </row>
    <row r="5961" spans="1:4" x14ac:dyDescent="0.25">
      <c r="A5961" s="89" t="s">
        <v>68</v>
      </c>
      <c r="B5961" s="89" t="s">
        <v>616</v>
      </c>
      <c r="C5961" s="89">
        <v>8534730.2899999991</v>
      </c>
      <c r="D5961" s="89" t="s">
        <v>663</v>
      </c>
    </row>
    <row r="5962" spans="1:4" x14ac:dyDescent="0.25">
      <c r="A5962" s="89" t="s">
        <v>68</v>
      </c>
      <c r="B5962" s="89" t="s">
        <v>616</v>
      </c>
      <c r="C5962" s="89">
        <v>-1192238.5</v>
      </c>
      <c r="D5962" s="89" t="s">
        <v>664</v>
      </c>
    </row>
    <row r="5963" spans="1:4" x14ac:dyDescent="0.25">
      <c r="A5963" s="89" t="s">
        <v>68</v>
      </c>
      <c r="B5963" s="89" t="s">
        <v>616</v>
      </c>
      <c r="C5963" s="89">
        <v>741161.2</v>
      </c>
      <c r="D5963" s="89" t="s">
        <v>663</v>
      </c>
    </row>
    <row r="5964" spans="1:4" x14ac:dyDescent="0.25">
      <c r="A5964" s="89" t="s">
        <v>68</v>
      </c>
      <c r="B5964" s="89" t="s">
        <v>616</v>
      </c>
      <c r="C5964" s="89">
        <v>11488454</v>
      </c>
      <c r="D5964" s="89" t="s">
        <v>663</v>
      </c>
    </row>
    <row r="5965" spans="1:4" x14ac:dyDescent="0.25">
      <c r="A5965" s="89" t="s">
        <v>68</v>
      </c>
      <c r="B5965" s="89" t="s">
        <v>616</v>
      </c>
      <c r="C5965" s="89">
        <v>2172948</v>
      </c>
      <c r="D5965" s="89" t="s">
        <v>663</v>
      </c>
    </row>
    <row r="5966" spans="1:4" x14ac:dyDescent="0.25">
      <c r="A5966" s="89" t="s">
        <v>68</v>
      </c>
      <c r="B5966" s="89" t="s">
        <v>616</v>
      </c>
      <c r="C5966" s="89">
        <v>306509.55</v>
      </c>
      <c r="D5966" s="89" t="s">
        <v>663</v>
      </c>
    </row>
    <row r="5967" spans="1:4" x14ac:dyDescent="0.25">
      <c r="A5967" s="89" t="s">
        <v>68</v>
      </c>
      <c r="B5967" s="89" t="s">
        <v>616</v>
      </c>
      <c r="C5967" s="89">
        <v>881523</v>
      </c>
      <c r="D5967" s="89" t="s">
        <v>663</v>
      </c>
    </row>
    <row r="5968" spans="1:4" x14ac:dyDescent="0.25">
      <c r="A5968" s="89" t="s">
        <v>68</v>
      </c>
      <c r="B5968" s="89" t="s">
        <v>616</v>
      </c>
      <c r="C5968" s="89">
        <v>54701</v>
      </c>
      <c r="D5968" s="89" t="s">
        <v>664</v>
      </c>
    </row>
    <row r="5969" spans="1:4" x14ac:dyDescent="0.25">
      <c r="A5969" s="89" t="s">
        <v>68</v>
      </c>
      <c r="B5969" s="89" t="s">
        <v>616</v>
      </c>
      <c r="C5969" s="89">
        <v>815531.89</v>
      </c>
      <c r="D5969" s="89" t="s">
        <v>663</v>
      </c>
    </row>
    <row r="5970" spans="1:4" x14ac:dyDescent="0.25">
      <c r="A5970" s="89" t="s">
        <v>68</v>
      </c>
      <c r="B5970" s="89" t="s">
        <v>616</v>
      </c>
      <c r="C5970" s="89">
        <v>421701</v>
      </c>
      <c r="D5970" s="89" t="s">
        <v>666</v>
      </c>
    </row>
    <row r="5971" spans="1:4" x14ac:dyDescent="0.25">
      <c r="A5971" s="89" t="s">
        <v>68</v>
      </c>
      <c r="B5971" s="89" t="s">
        <v>616</v>
      </c>
      <c r="C5971" s="89">
        <v>313555</v>
      </c>
      <c r="D5971" s="89" t="s">
        <v>666</v>
      </c>
    </row>
    <row r="5972" spans="1:4" x14ac:dyDescent="0.25">
      <c r="A5972" s="89" t="s">
        <v>68</v>
      </c>
      <c r="B5972" s="89" t="s">
        <v>616</v>
      </c>
      <c r="C5972" s="89">
        <v>20506135</v>
      </c>
      <c r="D5972" s="89" t="s">
        <v>663</v>
      </c>
    </row>
    <row r="5973" spans="1:4" x14ac:dyDescent="0.25">
      <c r="A5973" s="89" t="s">
        <v>68</v>
      </c>
      <c r="B5973" s="89" t="s">
        <v>616</v>
      </c>
      <c r="C5973" s="89">
        <v>2064973</v>
      </c>
      <c r="D5973" s="89" t="s">
        <v>663</v>
      </c>
    </row>
    <row r="5974" spans="1:4" x14ac:dyDescent="0.25">
      <c r="A5974" s="89" t="s">
        <v>68</v>
      </c>
      <c r="B5974" s="89" t="s">
        <v>616</v>
      </c>
      <c r="C5974" s="89">
        <v>1192238.5</v>
      </c>
      <c r="D5974" s="89" t="s">
        <v>664</v>
      </c>
    </row>
    <row r="5975" spans="1:4" x14ac:dyDescent="0.25">
      <c r="A5975" s="89" t="s">
        <v>68</v>
      </c>
      <c r="B5975" s="89" t="s">
        <v>616</v>
      </c>
      <c r="C5975" s="89">
        <v>3247721.56</v>
      </c>
      <c r="D5975" s="89" t="s">
        <v>663</v>
      </c>
    </row>
    <row r="5976" spans="1:4" x14ac:dyDescent="0.25">
      <c r="A5976" s="89" t="s">
        <v>68</v>
      </c>
      <c r="B5976" s="89" t="s">
        <v>616</v>
      </c>
      <c r="C5976" s="89">
        <v>1147929.73</v>
      </c>
      <c r="D5976" s="89" t="s">
        <v>666</v>
      </c>
    </row>
    <row r="5977" spans="1:4" x14ac:dyDescent="0.25">
      <c r="A5977" s="89" t="s">
        <v>68</v>
      </c>
      <c r="B5977" s="89" t="s">
        <v>616</v>
      </c>
      <c r="C5977" s="89">
        <v>1253171</v>
      </c>
      <c r="D5977" s="89" t="s">
        <v>664</v>
      </c>
    </row>
    <row r="5978" spans="1:4" x14ac:dyDescent="0.25">
      <c r="A5978" s="89" t="s">
        <v>68</v>
      </c>
      <c r="B5978" s="89" t="s">
        <v>616</v>
      </c>
      <c r="C5978" s="89">
        <v>5000000</v>
      </c>
      <c r="D5978" s="89" t="s">
        <v>663</v>
      </c>
    </row>
    <row r="5979" spans="1:4" x14ac:dyDescent="0.25">
      <c r="A5979" s="89" t="s">
        <v>68</v>
      </c>
      <c r="B5979" s="89" t="s">
        <v>616</v>
      </c>
      <c r="C5979" s="89">
        <v>1472250</v>
      </c>
      <c r="D5979" s="89" t="s">
        <v>666</v>
      </c>
    </row>
    <row r="5980" spans="1:4" x14ac:dyDescent="0.25">
      <c r="A5980" s="89" t="s">
        <v>68</v>
      </c>
      <c r="B5980" s="89" t="s">
        <v>616</v>
      </c>
      <c r="C5980" s="89">
        <v>381585</v>
      </c>
      <c r="D5980" s="89" t="s">
        <v>663</v>
      </c>
    </row>
    <row r="5981" spans="1:4" x14ac:dyDescent="0.25">
      <c r="A5981" s="89" t="s">
        <v>68</v>
      </c>
      <c r="B5981" s="89" t="s">
        <v>616</v>
      </c>
      <c r="C5981" s="89">
        <v>62186.67</v>
      </c>
      <c r="D5981" s="89" t="s">
        <v>666</v>
      </c>
    </row>
    <row r="5982" spans="1:4" x14ac:dyDescent="0.25">
      <c r="A5982" s="89" t="s">
        <v>68</v>
      </c>
      <c r="B5982" s="89" t="s">
        <v>616</v>
      </c>
      <c r="C5982" s="89">
        <v>425175</v>
      </c>
      <c r="D5982" s="89" t="s">
        <v>663</v>
      </c>
    </row>
    <row r="5983" spans="1:4" x14ac:dyDescent="0.25">
      <c r="A5983" s="89" t="s">
        <v>68</v>
      </c>
      <c r="B5983" s="89" t="s">
        <v>616</v>
      </c>
      <c r="C5983" s="89">
        <v>1692382</v>
      </c>
      <c r="D5983" s="89" t="s">
        <v>663</v>
      </c>
    </row>
    <row r="5984" spans="1:4" x14ac:dyDescent="0.25">
      <c r="A5984" s="89" t="s">
        <v>68</v>
      </c>
      <c r="B5984" s="89" t="s">
        <v>616</v>
      </c>
      <c r="C5984" s="89">
        <v>4653400</v>
      </c>
      <c r="D5984" s="89" t="s">
        <v>664</v>
      </c>
    </row>
    <row r="5985" spans="1:4" x14ac:dyDescent="0.25">
      <c r="A5985" s="89" t="s">
        <v>68</v>
      </c>
      <c r="B5985" s="89" t="s">
        <v>616</v>
      </c>
      <c r="C5985" s="89">
        <v>2177185</v>
      </c>
      <c r="D5985" s="89" t="s">
        <v>663</v>
      </c>
    </row>
    <row r="5986" spans="1:4" x14ac:dyDescent="0.25">
      <c r="A5986" s="89" t="s">
        <v>68</v>
      </c>
      <c r="B5986" s="89" t="s">
        <v>616</v>
      </c>
      <c r="C5986" s="89">
        <v>2235734</v>
      </c>
      <c r="D5986" s="89" t="s">
        <v>663</v>
      </c>
    </row>
    <row r="5987" spans="1:4" x14ac:dyDescent="0.25">
      <c r="A5987" s="89" t="s">
        <v>68</v>
      </c>
      <c r="B5987" s="89" t="s">
        <v>616</v>
      </c>
      <c r="C5987" s="89">
        <v>490231.4</v>
      </c>
      <c r="D5987" s="89" t="s">
        <v>664</v>
      </c>
    </row>
    <row r="5988" spans="1:4" x14ac:dyDescent="0.25">
      <c r="A5988" s="89" t="s">
        <v>68</v>
      </c>
      <c r="B5988" s="89" t="s">
        <v>616</v>
      </c>
      <c r="C5988" s="89">
        <v>1094539</v>
      </c>
      <c r="D5988" s="89" t="s">
        <v>666</v>
      </c>
    </row>
    <row r="5989" spans="1:4" x14ac:dyDescent="0.25">
      <c r="A5989" s="89" t="s">
        <v>68</v>
      </c>
      <c r="B5989" s="89" t="s">
        <v>616</v>
      </c>
      <c r="C5989" s="89">
        <v>1310375.01</v>
      </c>
      <c r="D5989" s="89" t="s">
        <v>663</v>
      </c>
    </row>
    <row r="5990" spans="1:4" x14ac:dyDescent="0.25">
      <c r="A5990" s="89" t="s">
        <v>68</v>
      </c>
      <c r="B5990" s="89" t="s">
        <v>616</v>
      </c>
      <c r="C5990" s="89">
        <v>815779</v>
      </c>
      <c r="D5990" s="89" t="s">
        <v>663</v>
      </c>
    </row>
    <row r="5991" spans="1:4" x14ac:dyDescent="0.25">
      <c r="A5991" s="89" t="s">
        <v>68</v>
      </c>
      <c r="B5991" s="89" t="s">
        <v>616</v>
      </c>
      <c r="C5991" s="89">
        <v>1140775.72</v>
      </c>
      <c r="D5991" s="89" t="s">
        <v>663</v>
      </c>
    </row>
    <row r="5992" spans="1:4" x14ac:dyDescent="0.25">
      <c r="A5992" s="89" t="s">
        <v>68</v>
      </c>
      <c r="B5992" s="89" t="s">
        <v>616</v>
      </c>
      <c r="C5992" s="89">
        <v>587959</v>
      </c>
      <c r="D5992" s="89" t="s">
        <v>664</v>
      </c>
    </row>
    <row r="5993" spans="1:4" x14ac:dyDescent="0.25">
      <c r="A5993" s="89" t="s">
        <v>68</v>
      </c>
      <c r="B5993" s="89" t="s">
        <v>616</v>
      </c>
      <c r="C5993" s="89">
        <v>214612</v>
      </c>
      <c r="D5993" s="89" t="s">
        <v>666</v>
      </c>
    </row>
    <row r="5994" spans="1:4" x14ac:dyDescent="0.25">
      <c r="A5994" s="89" t="s">
        <v>68</v>
      </c>
      <c r="B5994" s="89" t="s">
        <v>616</v>
      </c>
      <c r="C5994" s="89">
        <v>936564.1</v>
      </c>
      <c r="D5994" s="89" t="s">
        <v>663</v>
      </c>
    </row>
    <row r="5995" spans="1:4" x14ac:dyDescent="0.25">
      <c r="A5995" s="89" t="s">
        <v>68</v>
      </c>
      <c r="B5995" s="89" t="s">
        <v>616</v>
      </c>
      <c r="C5995" s="89">
        <v>180110</v>
      </c>
      <c r="D5995" s="89" t="s">
        <v>663</v>
      </c>
    </row>
    <row r="5996" spans="1:4" x14ac:dyDescent="0.25">
      <c r="A5996" s="89" t="s">
        <v>68</v>
      </c>
      <c r="B5996" s="89" t="s">
        <v>616</v>
      </c>
      <c r="C5996" s="89">
        <v>600000</v>
      </c>
      <c r="D5996" s="89" t="s">
        <v>663</v>
      </c>
    </row>
    <row r="5997" spans="1:4" x14ac:dyDescent="0.25">
      <c r="A5997" s="89" t="s">
        <v>68</v>
      </c>
      <c r="B5997" s="89" t="s">
        <v>616</v>
      </c>
      <c r="C5997" s="89">
        <v>8900000</v>
      </c>
      <c r="D5997" s="89" t="s">
        <v>663</v>
      </c>
    </row>
    <row r="5998" spans="1:4" x14ac:dyDescent="0.25">
      <c r="A5998" s="89" t="s">
        <v>68</v>
      </c>
      <c r="B5998" s="89" t="s">
        <v>616</v>
      </c>
      <c r="C5998" s="89">
        <v>7809264.7999999998</v>
      </c>
      <c r="D5998" s="89" t="s">
        <v>663</v>
      </c>
    </row>
    <row r="5999" spans="1:4" x14ac:dyDescent="0.25">
      <c r="A5999" s="89" t="s">
        <v>68</v>
      </c>
      <c r="B5999" s="89" t="s">
        <v>616</v>
      </c>
      <c r="C5999" s="89">
        <v>2953715</v>
      </c>
      <c r="D5999" s="89" t="s">
        <v>664</v>
      </c>
    </row>
    <row r="6000" spans="1:4" x14ac:dyDescent="0.25">
      <c r="A6000" s="89" t="s">
        <v>68</v>
      </c>
      <c r="B6000" s="89" t="s">
        <v>616</v>
      </c>
      <c r="C6000" s="89">
        <v>835246</v>
      </c>
      <c r="D6000" s="89" t="s">
        <v>666</v>
      </c>
    </row>
    <row r="6001" spans="1:4" x14ac:dyDescent="0.25">
      <c r="A6001" s="89" t="s">
        <v>68</v>
      </c>
      <c r="B6001" s="89" t="s">
        <v>616</v>
      </c>
      <c r="C6001" s="89">
        <v>7681257.4199999999</v>
      </c>
      <c r="D6001" s="89" t="s">
        <v>664</v>
      </c>
    </row>
    <row r="6002" spans="1:4" x14ac:dyDescent="0.25">
      <c r="A6002" s="89" t="s">
        <v>68</v>
      </c>
      <c r="B6002" s="89" t="s">
        <v>616</v>
      </c>
      <c r="C6002" s="89">
        <v>1951134</v>
      </c>
      <c r="D6002" s="89" t="s">
        <v>663</v>
      </c>
    </row>
    <row r="6003" spans="1:4" x14ac:dyDescent="0.25">
      <c r="A6003" s="89" t="s">
        <v>68</v>
      </c>
      <c r="B6003" s="89" t="s">
        <v>616</v>
      </c>
      <c r="C6003" s="89">
        <v>373708</v>
      </c>
      <c r="D6003" s="89" t="s">
        <v>666</v>
      </c>
    </row>
    <row r="6004" spans="1:4" x14ac:dyDescent="0.25">
      <c r="A6004" s="89" t="s">
        <v>68</v>
      </c>
      <c r="B6004" s="89" t="s">
        <v>616</v>
      </c>
      <c r="C6004" s="89">
        <v>2422691.23</v>
      </c>
      <c r="D6004" s="89" t="s">
        <v>664</v>
      </c>
    </row>
    <row r="6005" spans="1:4" x14ac:dyDescent="0.25">
      <c r="A6005" s="89" t="s">
        <v>68</v>
      </c>
      <c r="B6005" s="89" t="s">
        <v>616</v>
      </c>
      <c r="C6005" s="89">
        <v>2174611.88</v>
      </c>
      <c r="D6005" s="89" t="s">
        <v>664</v>
      </c>
    </row>
    <row r="6006" spans="1:4" x14ac:dyDescent="0.25">
      <c r="A6006" s="89" t="s">
        <v>68</v>
      </c>
      <c r="B6006" s="89" t="s">
        <v>616</v>
      </c>
      <c r="C6006" s="89">
        <v>25499617</v>
      </c>
      <c r="D6006" s="89" t="s">
        <v>663</v>
      </c>
    </row>
    <row r="6007" spans="1:4" x14ac:dyDescent="0.25">
      <c r="A6007" s="89" t="s">
        <v>68</v>
      </c>
      <c r="B6007" s="89" t="s">
        <v>616</v>
      </c>
      <c r="C6007" s="89">
        <v>4478973</v>
      </c>
      <c r="D6007" s="89" t="s">
        <v>663</v>
      </c>
    </row>
    <row r="6008" spans="1:4" x14ac:dyDescent="0.25">
      <c r="A6008" s="89" t="s">
        <v>68</v>
      </c>
      <c r="B6008" s="89" t="s">
        <v>616</v>
      </c>
      <c r="C6008" s="89">
        <v>2873236.68</v>
      </c>
      <c r="D6008" s="89" t="s">
        <v>663</v>
      </c>
    </row>
    <row r="6009" spans="1:4" x14ac:dyDescent="0.25">
      <c r="A6009" s="89" t="s">
        <v>68</v>
      </c>
      <c r="B6009" s="89" t="s">
        <v>616</v>
      </c>
      <c r="C6009" s="89">
        <v>2774005.34</v>
      </c>
      <c r="D6009" s="89" t="s">
        <v>663</v>
      </c>
    </row>
    <row r="6010" spans="1:4" x14ac:dyDescent="0.25">
      <c r="A6010" s="89" t="s">
        <v>68</v>
      </c>
      <c r="B6010" s="89" t="s">
        <v>616</v>
      </c>
      <c r="C6010" s="89">
        <v>5600940.29</v>
      </c>
      <c r="D6010" s="89" t="s">
        <v>663</v>
      </c>
    </row>
    <row r="6011" spans="1:4" x14ac:dyDescent="0.25">
      <c r="A6011" s="89" t="s">
        <v>68</v>
      </c>
      <c r="B6011" s="89" t="s">
        <v>616</v>
      </c>
      <c r="C6011" s="89">
        <v>2949150</v>
      </c>
      <c r="D6011" s="89" t="s">
        <v>663</v>
      </c>
    </row>
    <row r="6012" spans="1:4" x14ac:dyDescent="0.25">
      <c r="A6012" s="89" t="s">
        <v>68</v>
      </c>
      <c r="B6012" s="89" t="s">
        <v>616</v>
      </c>
      <c r="C6012" s="89">
        <v>1192238.5</v>
      </c>
      <c r="D6012" s="89" t="s">
        <v>664</v>
      </c>
    </row>
    <row r="6013" spans="1:4" x14ac:dyDescent="0.25">
      <c r="A6013" s="89" t="s">
        <v>68</v>
      </c>
      <c r="B6013" s="89" t="s">
        <v>616</v>
      </c>
      <c r="C6013" s="89">
        <v>239959.63</v>
      </c>
      <c r="D6013" s="89" t="s">
        <v>666</v>
      </c>
    </row>
    <row r="6014" spans="1:4" x14ac:dyDescent="0.25">
      <c r="A6014" s="89" t="s">
        <v>68</v>
      </c>
      <c r="B6014" s="89" t="s">
        <v>616</v>
      </c>
      <c r="C6014" s="89">
        <v>525832.35</v>
      </c>
      <c r="D6014" s="89" t="s">
        <v>664</v>
      </c>
    </row>
    <row r="6015" spans="1:4" x14ac:dyDescent="0.25">
      <c r="A6015" s="89" t="s">
        <v>68</v>
      </c>
      <c r="B6015" s="89" t="s">
        <v>616</v>
      </c>
      <c r="C6015" s="89">
        <v>198809</v>
      </c>
      <c r="D6015" s="89" t="s">
        <v>664</v>
      </c>
    </row>
    <row r="6016" spans="1:4" x14ac:dyDescent="0.25">
      <c r="A6016" s="89" t="s">
        <v>68</v>
      </c>
      <c r="B6016" s="89" t="s">
        <v>616</v>
      </c>
      <c r="C6016" s="89">
        <v>25663.18</v>
      </c>
      <c r="D6016" s="89" t="s">
        <v>666</v>
      </c>
    </row>
    <row r="6017" spans="1:4" x14ac:dyDescent="0.25">
      <c r="A6017" s="89" t="s">
        <v>68</v>
      </c>
      <c r="B6017" s="89" t="s">
        <v>616</v>
      </c>
      <c r="C6017" s="89">
        <v>2487258.3199999998</v>
      </c>
      <c r="D6017" s="89" t="s">
        <v>664</v>
      </c>
    </row>
    <row r="6018" spans="1:4" x14ac:dyDescent="0.25">
      <c r="A6018" s="89" t="s">
        <v>68</v>
      </c>
      <c r="B6018" s="89" t="s">
        <v>616</v>
      </c>
      <c r="C6018" s="89">
        <v>231206.36</v>
      </c>
      <c r="D6018" s="89" t="s">
        <v>663</v>
      </c>
    </row>
    <row r="6019" spans="1:4" x14ac:dyDescent="0.25">
      <c r="A6019" s="89" t="s">
        <v>68</v>
      </c>
      <c r="B6019" s="89" t="s">
        <v>616</v>
      </c>
      <c r="C6019" s="89">
        <v>4186625.9</v>
      </c>
      <c r="D6019" s="89" t="s">
        <v>663</v>
      </c>
    </row>
    <row r="6020" spans="1:4" x14ac:dyDescent="0.25">
      <c r="A6020" s="89" t="s">
        <v>68</v>
      </c>
      <c r="B6020" s="89" t="s">
        <v>616</v>
      </c>
      <c r="C6020" s="89">
        <v>2252991</v>
      </c>
      <c r="D6020" s="89" t="s">
        <v>664</v>
      </c>
    </row>
    <row r="6021" spans="1:4" x14ac:dyDescent="0.25">
      <c r="A6021" s="89" t="s">
        <v>68</v>
      </c>
      <c r="B6021" s="89" t="s">
        <v>616</v>
      </c>
      <c r="C6021" s="89">
        <v>1952096.16</v>
      </c>
      <c r="D6021" s="89" t="s">
        <v>664</v>
      </c>
    </row>
    <row r="6022" spans="1:4" x14ac:dyDescent="0.25">
      <c r="A6022" s="89" t="s">
        <v>68</v>
      </c>
      <c r="B6022" s="89" t="s">
        <v>616</v>
      </c>
      <c r="C6022" s="89">
        <v>2433578</v>
      </c>
      <c r="D6022" s="89" t="s">
        <v>663</v>
      </c>
    </row>
    <row r="6023" spans="1:4" x14ac:dyDescent="0.25">
      <c r="A6023" s="89" t="s">
        <v>68</v>
      </c>
      <c r="B6023" s="89" t="s">
        <v>616</v>
      </c>
      <c r="C6023" s="89">
        <v>231585</v>
      </c>
      <c r="D6023" s="89" t="s">
        <v>664</v>
      </c>
    </row>
    <row r="6024" spans="1:4" x14ac:dyDescent="0.25">
      <c r="A6024" s="89" t="s">
        <v>68</v>
      </c>
      <c r="B6024" s="89" t="s">
        <v>616</v>
      </c>
      <c r="C6024" s="89">
        <v>338341</v>
      </c>
      <c r="D6024" s="89" t="s">
        <v>663</v>
      </c>
    </row>
    <row r="6025" spans="1:4" x14ac:dyDescent="0.25">
      <c r="A6025" s="89" t="s">
        <v>68</v>
      </c>
      <c r="B6025" s="89" t="s">
        <v>616</v>
      </c>
      <c r="C6025" s="89">
        <v>1181402</v>
      </c>
      <c r="D6025" s="89" t="s">
        <v>666</v>
      </c>
    </row>
    <row r="6026" spans="1:4" x14ac:dyDescent="0.25">
      <c r="A6026" s="89" t="s">
        <v>68</v>
      </c>
      <c r="B6026" s="89" t="s">
        <v>616</v>
      </c>
      <c r="C6026" s="89">
        <v>332859</v>
      </c>
      <c r="D6026" s="89" t="s">
        <v>664</v>
      </c>
    </row>
    <row r="6027" spans="1:4" x14ac:dyDescent="0.25">
      <c r="A6027" s="89" t="s">
        <v>68</v>
      </c>
      <c r="B6027" s="89" t="s">
        <v>616</v>
      </c>
      <c r="C6027" s="89">
        <v>5269911.1399999997</v>
      </c>
      <c r="D6027" s="89" t="s">
        <v>663</v>
      </c>
    </row>
    <row r="6028" spans="1:4" x14ac:dyDescent="0.25">
      <c r="A6028" s="89" t="s">
        <v>68</v>
      </c>
      <c r="B6028" s="89" t="s">
        <v>616</v>
      </c>
      <c r="C6028" s="89">
        <v>3263642.52</v>
      </c>
      <c r="D6028" s="89" t="s">
        <v>664</v>
      </c>
    </row>
    <row r="6029" spans="1:4" x14ac:dyDescent="0.25">
      <c r="A6029" s="89" t="s">
        <v>68</v>
      </c>
      <c r="B6029" s="89" t="s">
        <v>616</v>
      </c>
      <c r="C6029" s="89">
        <v>5881180</v>
      </c>
      <c r="D6029" s="89" t="s">
        <v>666</v>
      </c>
    </row>
    <row r="6030" spans="1:4" x14ac:dyDescent="0.25">
      <c r="A6030" s="89" t="s">
        <v>68</v>
      </c>
      <c r="B6030" s="89" t="s">
        <v>616</v>
      </c>
      <c r="C6030" s="89">
        <v>600000</v>
      </c>
      <c r="D6030" s="89" t="s">
        <v>663</v>
      </c>
    </row>
    <row r="6031" spans="1:4" x14ac:dyDescent="0.25">
      <c r="A6031" s="89" t="s">
        <v>68</v>
      </c>
      <c r="B6031" s="89" t="s">
        <v>616</v>
      </c>
      <c r="C6031" s="89">
        <v>138084</v>
      </c>
      <c r="D6031" s="89" t="s">
        <v>664</v>
      </c>
    </row>
    <row r="6032" spans="1:4" x14ac:dyDescent="0.25">
      <c r="A6032" s="89" t="s">
        <v>68</v>
      </c>
      <c r="B6032" s="89" t="s">
        <v>616</v>
      </c>
      <c r="C6032" s="89">
        <v>850107</v>
      </c>
      <c r="D6032" s="89" t="s">
        <v>666</v>
      </c>
    </row>
    <row r="6033" spans="1:4" x14ac:dyDescent="0.25">
      <c r="A6033" s="89" t="s">
        <v>68</v>
      </c>
      <c r="B6033" s="89" t="s">
        <v>616</v>
      </c>
      <c r="C6033" s="89">
        <v>1608315</v>
      </c>
      <c r="D6033" s="89" t="s">
        <v>663</v>
      </c>
    </row>
    <row r="6034" spans="1:4" x14ac:dyDescent="0.25">
      <c r="A6034" s="89" t="s">
        <v>68</v>
      </c>
      <c r="B6034" s="89" t="s">
        <v>616</v>
      </c>
      <c r="C6034" s="89">
        <v>192169</v>
      </c>
      <c r="D6034" s="89" t="s">
        <v>666</v>
      </c>
    </row>
    <row r="6035" spans="1:4" x14ac:dyDescent="0.25">
      <c r="A6035" s="89" t="s">
        <v>68</v>
      </c>
      <c r="B6035" s="89" t="s">
        <v>616</v>
      </c>
      <c r="C6035" s="89">
        <v>1139383</v>
      </c>
      <c r="D6035" s="89" t="s">
        <v>663</v>
      </c>
    </row>
    <row r="6036" spans="1:4" x14ac:dyDescent="0.25">
      <c r="A6036" s="89" t="s">
        <v>68</v>
      </c>
      <c r="B6036" s="89" t="s">
        <v>616</v>
      </c>
      <c r="C6036" s="89">
        <v>2483744.16</v>
      </c>
      <c r="D6036" s="89" t="s">
        <v>664</v>
      </c>
    </row>
    <row r="6037" spans="1:4" x14ac:dyDescent="0.25">
      <c r="A6037" s="89" t="s">
        <v>68</v>
      </c>
      <c r="B6037" s="89" t="s">
        <v>616</v>
      </c>
      <c r="C6037" s="89">
        <v>5282152</v>
      </c>
      <c r="D6037" s="89" t="s">
        <v>664</v>
      </c>
    </row>
    <row r="6038" spans="1:4" x14ac:dyDescent="0.25">
      <c r="A6038" s="89" t="s">
        <v>667</v>
      </c>
      <c r="B6038" s="89" t="s">
        <v>617</v>
      </c>
      <c r="C6038" s="89">
        <v>316274.5</v>
      </c>
      <c r="D6038" s="89" t="s">
        <v>663</v>
      </c>
    </row>
    <row r="6039" spans="1:4" x14ac:dyDescent="0.25">
      <c r="A6039" s="89" t="s">
        <v>667</v>
      </c>
      <c r="B6039" s="89" t="s">
        <v>617</v>
      </c>
      <c r="C6039" s="89">
        <v>289806</v>
      </c>
      <c r="D6039" s="89" t="s">
        <v>666</v>
      </c>
    </row>
    <row r="6040" spans="1:4" x14ac:dyDescent="0.25">
      <c r="A6040" s="89" t="s">
        <v>667</v>
      </c>
      <c r="B6040" s="89" t="s">
        <v>617</v>
      </c>
      <c r="C6040" s="89">
        <v>1067570</v>
      </c>
      <c r="D6040" s="89" t="s">
        <v>664</v>
      </c>
    </row>
    <row r="6041" spans="1:4" x14ac:dyDescent="0.25">
      <c r="A6041" s="89" t="s">
        <v>667</v>
      </c>
      <c r="B6041" s="89" t="s">
        <v>617</v>
      </c>
      <c r="C6041" s="89">
        <v>2792077</v>
      </c>
      <c r="D6041" s="89" t="s">
        <v>664</v>
      </c>
    </row>
    <row r="6042" spans="1:4" x14ac:dyDescent="0.25">
      <c r="A6042" s="89" t="s">
        <v>667</v>
      </c>
      <c r="B6042" s="89" t="s">
        <v>617</v>
      </c>
      <c r="C6042" s="89">
        <v>371860</v>
      </c>
      <c r="D6042" s="89" t="s">
        <v>664</v>
      </c>
    </row>
    <row r="6043" spans="1:4" x14ac:dyDescent="0.25">
      <c r="A6043" s="89" t="s">
        <v>667</v>
      </c>
      <c r="B6043" s="89" t="s">
        <v>617</v>
      </c>
      <c r="C6043" s="89">
        <v>354338.75</v>
      </c>
      <c r="D6043" s="89" t="s">
        <v>663</v>
      </c>
    </row>
    <row r="6044" spans="1:4" x14ac:dyDescent="0.25">
      <c r="A6044" s="89" t="s">
        <v>667</v>
      </c>
      <c r="B6044" s="89" t="s">
        <v>617</v>
      </c>
      <c r="C6044" s="89">
        <v>669676</v>
      </c>
      <c r="D6044" s="89" t="s">
        <v>666</v>
      </c>
    </row>
    <row r="6045" spans="1:4" x14ac:dyDescent="0.25">
      <c r="A6045" s="89" t="s">
        <v>667</v>
      </c>
      <c r="B6045" s="89" t="s">
        <v>617</v>
      </c>
      <c r="C6045" s="89">
        <v>150652</v>
      </c>
      <c r="D6045" s="89" t="s">
        <v>666</v>
      </c>
    </row>
    <row r="6046" spans="1:4" x14ac:dyDescent="0.25">
      <c r="A6046" s="89" t="s">
        <v>667</v>
      </c>
      <c r="B6046" s="89" t="s">
        <v>617</v>
      </c>
      <c r="C6046" s="89">
        <v>1770569.01</v>
      </c>
      <c r="D6046" s="89" t="s">
        <v>664</v>
      </c>
    </row>
    <row r="6047" spans="1:4" x14ac:dyDescent="0.25">
      <c r="A6047" s="89" t="s">
        <v>667</v>
      </c>
      <c r="B6047" s="89" t="s">
        <v>617</v>
      </c>
      <c r="C6047" s="89">
        <v>135695</v>
      </c>
      <c r="D6047" s="89" t="s">
        <v>663</v>
      </c>
    </row>
    <row r="6048" spans="1:4" x14ac:dyDescent="0.25">
      <c r="A6048" s="89" t="s">
        <v>667</v>
      </c>
      <c r="B6048" s="89" t="s">
        <v>617</v>
      </c>
      <c r="C6048" s="89">
        <v>885866</v>
      </c>
      <c r="D6048" s="89" t="s">
        <v>663</v>
      </c>
    </row>
    <row r="6049" spans="1:4" x14ac:dyDescent="0.25">
      <c r="A6049" s="89" t="s">
        <v>667</v>
      </c>
      <c r="B6049" s="89" t="s">
        <v>617</v>
      </c>
      <c r="C6049" s="89">
        <v>1397264.99</v>
      </c>
      <c r="D6049" s="89" t="s">
        <v>664</v>
      </c>
    </row>
    <row r="6050" spans="1:4" x14ac:dyDescent="0.25">
      <c r="A6050" s="89" t="s">
        <v>667</v>
      </c>
      <c r="B6050" s="89" t="s">
        <v>617</v>
      </c>
      <c r="C6050" s="89">
        <v>358093</v>
      </c>
      <c r="D6050" s="89" t="s">
        <v>663</v>
      </c>
    </row>
    <row r="6051" spans="1:4" x14ac:dyDescent="0.25">
      <c r="A6051" s="89" t="s">
        <v>667</v>
      </c>
      <c r="B6051" s="89" t="s">
        <v>617</v>
      </c>
      <c r="C6051" s="89">
        <v>403568.25</v>
      </c>
      <c r="D6051" s="89" t="s">
        <v>663</v>
      </c>
    </row>
    <row r="6052" spans="1:4" x14ac:dyDescent="0.25">
      <c r="A6052" s="89" t="s">
        <v>667</v>
      </c>
      <c r="B6052" s="89" t="s">
        <v>617</v>
      </c>
      <c r="C6052" s="89">
        <v>618520</v>
      </c>
      <c r="D6052" s="89" t="s">
        <v>664</v>
      </c>
    </row>
    <row r="6053" spans="1:4" x14ac:dyDescent="0.25">
      <c r="A6053" s="89" t="s">
        <v>667</v>
      </c>
      <c r="B6053" s="89" t="s">
        <v>617</v>
      </c>
      <c r="C6053" s="89">
        <v>162700</v>
      </c>
      <c r="D6053" s="89" t="s">
        <v>664</v>
      </c>
    </row>
    <row r="6054" spans="1:4" x14ac:dyDescent="0.25">
      <c r="A6054" s="89" t="s">
        <v>667</v>
      </c>
      <c r="B6054" s="89" t="s">
        <v>617</v>
      </c>
      <c r="C6054" s="89">
        <v>1208108</v>
      </c>
      <c r="D6054" s="89" t="s">
        <v>663</v>
      </c>
    </row>
    <row r="6055" spans="1:4" x14ac:dyDescent="0.25">
      <c r="A6055" s="89" t="s">
        <v>667</v>
      </c>
      <c r="B6055" s="89" t="s">
        <v>617</v>
      </c>
      <c r="C6055" s="89">
        <v>1530146.47</v>
      </c>
      <c r="D6055" s="89" t="s">
        <v>664</v>
      </c>
    </row>
    <row r="6056" spans="1:4" x14ac:dyDescent="0.25">
      <c r="A6056" s="89" t="s">
        <v>667</v>
      </c>
      <c r="B6056" s="89" t="s">
        <v>617</v>
      </c>
      <c r="C6056" s="89">
        <v>1411307</v>
      </c>
      <c r="D6056" s="89" t="s">
        <v>664</v>
      </c>
    </row>
    <row r="6057" spans="1:4" x14ac:dyDescent="0.25">
      <c r="A6057" s="89" t="s">
        <v>667</v>
      </c>
      <c r="B6057" s="89" t="s">
        <v>617</v>
      </c>
      <c r="C6057" s="89">
        <v>1183599.3078000001</v>
      </c>
      <c r="D6057" s="89" t="s">
        <v>664</v>
      </c>
    </row>
    <row r="6058" spans="1:4" x14ac:dyDescent="0.25">
      <c r="A6058" s="89" t="s">
        <v>667</v>
      </c>
      <c r="B6058" s="89" t="s">
        <v>617</v>
      </c>
      <c r="C6058" s="89">
        <v>63891.722699999998</v>
      </c>
      <c r="D6058" s="89" t="s">
        <v>664</v>
      </c>
    </row>
    <row r="6059" spans="1:4" x14ac:dyDescent="0.25">
      <c r="A6059" s="89" t="s">
        <v>67</v>
      </c>
      <c r="B6059" s="89" t="s">
        <v>617</v>
      </c>
      <c r="C6059" s="89">
        <v>3497411.87</v>
      </c>
      <c r="D6059" s="89" t="s">
        <v>663</v>
      </c>
    </row>
    <row r="6060" spans="1:4" x14ac:dyDescent="0.25">
      <c r="A6060" s="89" t="s">
        <v>67</v>
      </c>
      <c r="B6060" s="89" t="s">
        <v>617</v>
      </c>
      <c r="C6060" s="89">
        <v>4333341</v>
      </c>
      <c r="D6060" s="89" t="s">
        <v>663</v>
      </c>
    </row>
    <row r="6061" spans="1:4" x14ac:dyDescent="0.25">
      <c r="A6061" s="89" t="s">
        <v>67</v>
      </c>
      <c r="B6061" s="89" t="s">
        <v>617</v>
      </c>
      <c r="C6061" s="89">
        <v>724675</v>
      </c>
      <c r="D6061" s="89" t="s">
        <v>664</v>
      </c>
    </row>
    <row r="6062" spans="1:4" x14ac:dyDescent="0.25">
      <c r="A6062" s="89" t="s">
        <v>67</v>
      </c>
      <c r="B6062" s="89" t="s">
        <v>617</v>
      </c>
      <c r="C6062" s="89">
        <v>6798371.2300000004</v>
      </c>
      <c r="D6062" s="89" t="s">
        <v>664</v>
      </c>
    </row>
    <row r="6063" spans="1:4" x14ac:dyDescent="0.25">
      <c r="A6063" s="89" t="s">
        <v>67</v>
      </c>
      <c r="B6063" s="89" t="s">
        <v>617</v>
      </c>
      <c r="C6063" s="89">
        <v>2249371</v>
      </c>
      <c r="D6063" s="89" t="s">
        <v>664</v>
      </c>
    </row>
    <row r="6064" spans="1:4" x14ac:dyDescent="0.25">
      <c r="A6064" s="89" t="s">
        <v>67</v>
      </c>
      <c r="B6064" s="89" t="s">
        <v>617</v>
      </c>
      <c r="C6064" s="89">
        <v>1292404</v>
      </c>
      <c r="D6064" s="89" t="s">
        <v>663</v>
      </c>
    </row>
    <row r="6065" spans="1:4" x14ac:dyDescent="0.25">
      <c r="A6065" s="89" t="s">
        <v>67</v>
      </c>
      <c r="B6065" s="89" t="s">
        <v>617</v>
      </c>
      <c r="C6065" s="89">
        <v>3410626</v>
      </c>
      <c r="D6065" s="89" t="s">
        <v>666</v>
      </c>
    </row>
    <row r="6066" spans="1:4" x14ac:dyDescent="0.25">
      <c r="A6066" s="89" t="s">
        <v>67</v>
      </c>
      <c r="B6066" s="89" t="s">
        <v>617</v>
      </c>
      <c r="C6066" s="89">
        <v>5694529</v>
      </c>
      <c r="D6066" s="89" t="s">
        <v>666</v>
      </c>
    </row>
    <row r="6067" spans="1:4" x14ac:dyDescent="0.25">
      <c r="A6067" s="89" t="s">
        <v>67</v>
      </c>
      <c r="B6067" s="89" t="s">
        <v>617</v>
      </c>
      <c r="C6067" s="89">
        <v>11784474</v>
      </c>
      <c r="D6067" s="89" t="s">
        <v>664</v>
      </c>
    </row>
    <row r="6068" spans="1:4" x14ac:dyDescent="0.25">
      <c r="A6068" s="89" t="s">
        <v>67</v>
      </c>
      <c r="B6068" s="89" t="s">
        <v>617</v>
      </c>
      <c r="C6068" s="89">
        <v>20440040</v>
      </c>
      <c r="D6068" s="89" t="s">
        <v>663</v>
      </c>
    </row>
    <row r="6069" spans="1:4" x14ac:dyDescent="0.25">
      <c r="A6069" s="89" t="s">
        <v>67</v>
      </c>
      <c r="B6069" s="89" t="s">
        <v>617</v>
      </c>
      <c r="C6069" s="89">
        <v>-1518219.93</v>
      </c>
      <c r="D6069" s="89" t="s">
        <v>663</v>
      </c>
    </row>
    <row r="6070" spans="1:4" x14ac:dyDescent="0.25">
      <c r="A6070" s="89" t="s">
        <v>67</v>
      </c>
      <c r="B6070" s="89" t="s">
        <v>617</v>
      </c>
      <c r="C6070" s="89">
        <v>11260969</v>
      </c>
      <c r="D6070" s="89" t="s">
        <v>666</v>
      </c>
    </row>
    <row r="6071" spans="1:4" x14ac:dyDescent="0.25">
      <c r="A6071" s="89" t="s">
        <v>67</v>
      </c>
      <c r="B6071" s="89" t="s">
        <v>617</v>
      </c>
      <c r="C6071" s="89">
        <v>20319313.75</v>
      </c>
      <c r="D6071" s="89" t="s">
        <v>664</v>
      </c>
    </row>
    <row r="6072" spans="1:4" x14ac:dyDescent="0.25">
      <c r="A6072" s="89" t="s">
        <v>67</v>
      </c>
      <c r="B6072" s="89" t="s">
        <v>617</v>
      </c>
      <c r="C6072" s="89">
        <v>2093308.06</v>
      </c>
      <c r="D6072" s="89" t="s">
        <v>665</v>
      </c>
    </row>
    <row r="6073" spans="1:4" x14ac:dyDescent="0.25">
      <c r="A6073" s="89" t="s">
        <v>67</v>
      </c>
      <c r="B6073" s="89" t="s">
        <v>617</v>
      </c>
      <c r="C6073" s="89">
        <v>222634.94</v>
      </c>
      <c r="D6073" s="89" t="s">
        <v>664</v>
      </c>
    </row>
    <row r="6074" spans="1:4" x14ac:dyDescent="0.25">
      <c r="A6074" s="89" t="s">
        <v>67</v>
      </c>
      <c r="B6074" s="89" t="s">
        <v>617</v>
      </c>
      <c r="C6074" s="89">
        <v>-20358.189999999999</v>
      </c>
      <c r="D6074" s="89" t="s">
        <v>663</v>
      </c>
    </row>
    <row r="6075" spans="1:4" x14ac:dyDescent="0.25">
      <c r="A6075" s="89" t="s">
        <v>67</v>
      </c>
      <c r="B6075" s="89" t="s">
        <v>617</v>
      </c>
      <c r="C6075" s="89">
        <v>1437752.97</v>
      </c>
      <c r="D6075" s="89" t="s">
        <v>666</v>
      </c>
    </row>
    <row r="6076" spans="1:4" x14ac:dyDescent="0.25">
      <c r="A6076" s="89" t="s">
        <v>67</v>
      </c>
      <c r="B6076" s="89" t="s">
        <v>617</v>
      </c>
      <c r="C6076" s="89">
        <v>21033988.120000001</v>
      </c>
      <c r="D6076" s="89" t="s">
        <v>663</v>
      </c>
    </row>
    <row r="6077" spans="1:4" x14ac:dyDescent="0.25">
      <c r="A6077" s="89" t="s">
        <v>67</v>
      </c>
      <c r="B6077" s="89" t="s">
        <v>617</v>
      </c>
      <c r="C6077" s="89">
        <v>5639945</v>
      </c>
      <c r="D6077" s="89" t="s">
        <v>663</v>
      </c>
    </row>
    <row r="6078" spans="1:4" x14ac:dyDescent="0.25">
      <c r="A6078" s="89" t="s">
        <v>67</v>
      </c>
      <c r="B6078" s="89" t="s">
        <v>617</v>
      </c>
      <c r="C6078" s="89">
        <v>935499.25</v>
      </c>
      <c r="D6078" s="89" t="s">
        <v>664</v>
      </c>
    </row>
    <row r="6079" spans="1:4" x14ac:dyDescent="0.25">
      <c r="A6079" s="89" t="s">
        <v>67</v>
      </c>
      <c r="B6079" s="89" t="s">
        <v>617</v>
      </c>
      <c r="C6079" s="89">
        <v>3861937.58</v>
      </c>
      <c r="D6079" s="89" t="s">
        <v>664</v>
      </c>
    </row>
    <row r="6080" spans="1:4" x14ac:dyDescent="0.25">
      <c r="A6080" s="89" t="s">
        <v>67</v>
      </c>
      <c r="B6080" s="89" t="s">
        <v>617</v>
      </c>
      <c r="C6080" s="89">
        <v>1415000</v>
      </c>
      <c r="D6080" s="89" t="s">
        <v>664</v>
      </c>
    </row>
    <row r="6081" spans="1:4" x14ac:dyDescent="0.25">
      <c r="A6081" s="89" t="s">
        <v>67</v>
      </c>
      <c r="B6081" s="89" t="s">
        <v>617</v>
      </c>
      <c r="C6081" s="89">
        <v>-27043.55</v>
      </c>
      <c r="D6081" s="89" t="s">
        <v>663</v>
      </c>
    </row>
    <row r="6082" spans="1:4" x14ac:dyDescent="0.25">
      <c r="A6082" s="89" t="s">
        <v>67</v>
      </c>
      <c r="B6082" s="89" t="s">
        <v>617</v>
      </c>
      <c r="C6082" s="89">
        <v>4836910</v>
      </c>
      <c r="D6082" s="89" t="s">
        <v>663</v>
      </c>
    </row>
    <row r="6083" spans="1:4" x14ac:dyDescent="0.25">
      <c r="A6083" s="89" t="s">
        <v>67</v>
      </c>
      <c r="B6083" s="89" t="s">
        <v>617</v>
      </c>
      <c r="C6083" s="89">
        <v>579643</v>
      </c>
      <c r="D6083" s="89" t="s">
        <v>663</v>
      </c>
    </row>
    <row r="6084" spans="1:4" x14ac:dyDescent="0.25">
      <c r="A6084" s="89" t="s">
        <v>67</v>
      </c>
      <c r="B6084" s="89" t="s">
        <v>617</v>
      </c>
      <c r="C6084" s="89">
        <v>-1324787</v>
      </c>
      <c r="D6084" s="89" t="s">
        <v>664</v>
      </c>
    </row>
    <row r="6085" spans="1:4" x14ac:dyDescent="0.25">
      <c r="A6085" s="89" t="s">
        <v>67</v>
      </c>
      <c r="B6085" s="89" t="s">
        <v>617</v>
      </c>
      <c r="C6085" s="89">
        <v>-662882.02</v>
      </c>
      <c r="D6085" s="89" t="s">
        <v>666</v>
      </c>
    </row>
    <row r="6086" spans="1:4" x14ac:dyDescent="0.25">
      <c r="A6086" s="89" t="s">
        <v>67</v>
      </c>
      <c r="B6086" s="89" t="s">
        <v>617</v>
      </c>
      <c r="C6086" s="89">
        <v>5707824.2300000004</v>
      </c>
      <c r="D6086" s="89" t="s">
        <v>663</v>
      </c>
    </row>
    <row r="6087" spans="1:4" x14ac:dyDescent="0.25">
      <c r="A6087" s="89" t="s">
        <v>67</v>
      </c>
      <c r="B6087" s="89" t="s">
        <v>617</v>
      </c>
      <c r="C6087" s="89">
        <v>20053712.239999998</v>
      </c>
      <c r="D6087" s="89" t="s">
        <v>663</v>
      </c>
    </row>
    <row r="6088" spans="1:4" x14ac:dyDescent="0.25">
      <c r="A6088" s="89" t="s">
        <v>67</v>
      </c>
      <c r="B6088" s="89" t="s">
        <v>617</v>
      </c>
      <c r="C6088" s="89">
        <v>7444080</v>
      </c>
      <c r="D6088" s="89" t="s">
        <v>663</v>
      </c>
    </row>
    <row r="6089" spans="1:4" x14ac:dyDescent="0.25">
      <c r="A6089" s="89" t="s">
        <v>67</v>
      </c>
      <c r="B6089" s="89" t="s">
        <v>617</v>
      </c>
      <c r="C6089" s="89">
        <v>5893728.7800000003</v>
      </c>
      <c r="D6089" s="89" t="s">
        <v>663</v>
      </c>
    </row>
    <row r="6090" spans="1:4" x14ac:dyDescent="0.25">
      <c r="A6090" s="89" t="s">
        <v>67</v>
      </c>
      <c r="B6090" s="89" t="s">
        <v>617</v>
      </c>
      <c r="C6090" s="89">
        <v>3584639.17</v>
      </c>
      <c r="D6090" s="89" t="s">
        <v>666</v>
      </c>
    </row>
    <row r="6091" spans="1:4" x14ac:dyDescent="0.25">
      <c r="A6091" s="89" t="s">
        <v>67</v>
      </c>
      <c r="B6091" s="89" t="s">
        <v>617</v>
      </c>
      <c r="C6091" s="89">
        <v>20949044.559999999</v>
      </c>
      <c r="D6091" s="89" t="s">
        <v>663</v>
      </c>
    </row>
    <row r="6092" spans="1:4" x14ac:dyDescent="0.25">
      <c r="A6092" s="89" t="s">
        <v>67</v>
      </c>
      <c r="B6092" s="89" t="s">
        <v>617</v>
      </c>
      <c r="C6092" s="89">
        <v>1299071.22</v>
      </c>
      <c r="D6092" s="89" t="s">
        <v>666</v>
      </c>
    </row>
    <row r="6093" spans="1:4" x14ac:dyDescent="0.25">
      <c r="A6093" s="89" t="s">
        <v>67</v>
      </c>
      <c r="B6093" s="89" t="s">
        <v>617</v>
      </c>
      <c r="C6093" s="89">
        <v>2447405.7400000002</v>
      </c>
      <c r="D6093" s="89" t="s">
        <v>664</v>
      </c>
    </row>
    <row r="6094" spans="1:4" x14ac:dyDescent="0.25">
      <c r="A6094" s="89" t="s">
        <v>67</v>
      </c>
      <c r="B6094" s="89" t="s">
        <v>617</v>
      </c>
      <c r="C6094" s="89">
        <v>8782859.2100000009</v>
      </c>
      <c r="D6094" s="89" t="s">
        <v>665</v>
      </c>
    </row>
    <row r="6095" spans="1:4" x14ac:dyDescent="0.25">
      <c r="A6095" s="89" t="s">
        <v>67</v>
      </c>
      <c r="B6095" s="89" t="s">
        <v>617</v>
      </c>
      <c r="C6095" s="89">
        <v>5301728.51</v>
      </c>
      <c r="D6095" s="89" t="s">
        <v>663</v>
      </c>
    </row>
    <row r="6096" spans="1:4" x14ac:dyDescent="0.25">
      <c r="A6096" s="89" t="s">
        <v>67</v>
      </c>
      <c r="B6096" s="89" t="s">
        <v>617</v>
      </c>
      <c r="C6096" s="89">
        <v>3008583.51</v>
      </c>
      <c r="D6096" s="89" t="s">
        <v>664</v>
      </c>
    </row>
    <row r="6097" spans="1:4" x14ac:dyDescent="0.25">
      <c r="A6097" s="89" t="s">
        <v>67</v>
      </c>
      <c r="B6097" s="89" t="s">
        <v>617</v>
      </c>
      <c r="C6097" s="89">
        <v>4224032.78</v>
      </c>
      <c r="D6097" s="89" t="s">
        <v>666</v>
      </c>
    </row>
    <row r="6098" spans="1:4" x14ac:dyDescent="0.25">
      <c r="A6098" s="89" t="s">
        <v>67</v>
      </c>
      <c r="B6098" s="89" t="s">
        <v>617</v>
      </c>
      <c r="C6098" s="89">
        <v>1899453.54</v>
      </c>
      <c r="D6098" s="89" t="s">
        <v>665</v>
      </c>
    </row>
    <row r="6099" spans="1:4" x14ac:dyDescent="0.25">
      <c r="A6099" s="89" t="s">
        <v>67</v>
      </c>
      <c r="B6099" s="89" t="s">
        <v>617</v>
      </c>
      <c r="C6099" s="89">
        <v>1321042.04</v>
      </c>
      <c r="D6099" s="89" t="s">
        <v>663</v>
      </c>
    </row>
    <row r="6100" spans="1:4" x14ac:dyDescent="0.25">
      <c r="A6100" s="89" t="s">
        <v>67</v>
      </c>
      <c r="B6100" s="89" t="s">
        <v>617</v>
      </c>
      <c r="C6100" s="89">
        <v>3744947.39</v>
      </c>
      <c r="D6100" s="89" t="s">
        <v>666</v>
      </c>
    </row>
    <row r="6101" spans="1:4" x14ac:dyDescent="0.25">
      <c r="A6101" s="89" t="s">
        <v>67</v>
      </c>
      <c r="B6101" s="89" t="s">
        <v>617</v>
      </c>
      <c r="C6101" s="89">
        <v>3434230.73</v>
      </c>
      <c r="D6101" s="89" t="s">
        <v>664</v>
      </c>
    </row>
    <row r="6102" spans="1:4" x14ac:dyDescent="0.25">
      <c r="A6102" s="89" t="s">
        <v>67</v>
      </c>
      <c r="B6102" s="89" t="s">
        <v>617</v>
      </c>
      <c r="C6102" s="89">
        <v>3386786.31</v>
      </c>
      <c r="D6102" s="89" t="s">
        <v>665</v>
      </c>
    </row>
    <row r="6103" spans="1:4" x14ac:dyDescent="0.25">
      <c r="A6103" s="89" t="s">
        <v>67</v>
      </c>
      <c r="B6103" s="89" t="s">
        <v>617</v>
      </c>
      <c r="C6103" s="89">
        <v>15339000.57</v>
      </c>
      <c r="D6103" s="89" t="s">
        <v>665</v>
      </c>
    </row>
    <row r="6104" spans="1:4" x14ac:dyDescent="0.25">
      <c r="A6104" s="89" t="s">
        <v>67</v>
      </c>
      <c r="B6104" s="89" t="s">
        <v>617</v>
      </c>
      <c r="C6104" s="89">
        <v>783735.51</v>
      </c>
      <c r="D6104" s="89" t="s">
        <v>664</v>
      </c>
    </row>
    <row r="6105" spans="1:4" x14ac:dyDescent="0.25">
      <c r="A6105" s="89" t="s">
        <v>67</v>
      </c>
      <c r="B6105" s="89" t="s">
        <v>617</v>
      </c>
      <c r="C6105" s="89">
        <v>3658648.85</v>
      </c>
      <c r="D6105" s="89" t="s">
        <v>664</v>
      </c>
    </row>
    <row r="6106" spans="1:4" x14ac:dyDescent="0.25">
      <c r="A6106" s="89" t="s">
        <v>67</v>
      </c>
      <c r="B6106" s="89" t="s">
        <v>617</v>
      </c>
      <c r="C6106" s="89">
        <v>-20570.41</v>
      </c>
      <c r="D6106" s="89" t="s">
        <v>663</v>
      </c>
    </row>
  </sheetData>
  <autoFilter ref="A1:D6106"/>
  <pageMargins left="0.75" right="0.75" top="1" bottom="1" header="0.5" footer="0.5"/>
  <pageSetup orientation="portrait" r:id="rId1"/>
  <headerFooter alignWithMargins="0">
    <oddHeader>&amp;A</oddHeader>
    <oddFooter>Page &amp;P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16"/>
  <sheetViews>
    <sheetView workbookViewId="0">
      <selection sqref="A1:E16"/>
    </sheetView>
  </sheetViews>
  <sheetFormatPr defaultColWidth="8.85546875" defaultRowHeight="15" x14ac:dyDescent="0.25"/>
  <cols>
    <col min="1" max="1" width="21.42578125" bestFit="1" customWidth="1"/>
    <col min="5" max="5" width="12.28515625" bestFit="1" customWidth="1"/>
  </cols>
  <sheetData>
    <row r="1" spans="1:5" x14ac:dyDescent="0.25">
      <c r="B1" s="6">
        <v>2010</v>
      </c>
      <c r="C1" s="6">
        <v>2015</v>
      </c>
      <c r="D1" s="6">
        <v>2020</v>
      </c>
      <c r="E1" s="6" t="s">
        <v>113</v>
      </c>
    </row>
    <row r="2" spans="1:5" x14ac:dyDescent="0.25">
      <c r="A2" t="s">
        <v>112</v>
      </c>
      <c r="B2">
        <v>2969</v>
      </c>
      <c r="C2">
        <v>3154</v>
      </c>
      <c r="D2">
        <v>3361</v>
      </c>
      <c r="E2" s="1">
        <v>2020</v>
      </c>
    </row>
    <row r="3" spans="1:5" x14ac:dyDescent="0.25">
      <c r="A3" t="s">
        <v>44</v>
      </c>
      <c r="B3" s="2">
        <v>127979</v>
      </c>
      <c r="C3" s="2">
        <v>127332</v>
      </c>
      <c r="D3" s="2">
        <v>125290</v>
      </c>
      <c r="E3" s="1">
        <v>2015</v>
      </c>
    </row>
    <row r="4" spans="1:5" x14ac:dyDescent="0.25">
      <c r="A4" t="s">
        <v>89</v>
      </c>
      <c r="B4">
        <v>6664</v>
      </c>
      <c r="C4">
        <v>7460</v>
      </c>
      <c r="D4">
        <v>7986</v>
      </c>
      <c r="E4" s="1">
        <v>2020</v>
      </c>
    </row>
    <row r="5" spans="1:5" x14ac:dyDescent="0.25">
      <c r="A5" t="s">
        <v>111</v>
      </c>
      <c r="B5">
        <v>683</v>
      </c>
      <c r="C5">
        <v>668</v>
      </c>
      <c r="D5">
        <v>665</v>
      </c>
      <c r="E5" s="1">
        <v>2018</v>
      </c>
    </row>
    <row r="6" spans="1:5" x14ac:dyDescent="0.25">
      <c r="A6" t="s">
        <v>38</v>
      </c>
      <c r="B6">
        <v>274</v>
      </c>
      <c r="C6">
        <v>281</v>
      </c>
      <c r="D6">
        <v>281</v>
      </c>
      <c r="E6" s="1">
        <v>2019</v>
      </c>
    </row>
    <row r="7" spans="1:5" x14ac:dyDescent="0.25">
      <c r="A7" t="s">
        <v>110</v>
      </c>
      <c r="B7">
        <v>26569</v>
      </c>
      <c r="C7">
        <v>29669</v>
      </c>
      <c r="D7">
        <v>32762</v>
      </c>
      <c r="E7" s="1">
        <v>2012</v>
      </c>
    </row>
    <row r="8" spans="1:5" x14ac:dyDescent="0.25">
      <c r="A8" t="s">
        <v>109</v>
      </c>
      <c r="B8">
        <v>962</v>
      </c>
      <c r="C8">
        <v>999</v>
      </c>
      <c r="D8">
        <v>1046</v>
      </c>
      <c r="E8" s="1">
        <v>2019</v>
      </c>
    </row>
    <row r="9" spans="1:5" x14ac:dyDescent="0.25">
      <c r="A9" t="s">
        <v>108</v>
      </c>
      <c r="B9">
        <v>23</v>
      </c>
      <c r="C9">
        <v>24</v>
      </c>
      <c r="D9">
        <v>25</v>
      </c>
      <c r="E9" s="1">
        <v>2015</v>
      </c>
    </row>
    <row r="10" spans="1:5" x14ac:dyDescent="0.25">
      <c r="A10" t="s">
        <v>74</v>
      </c>
      <c r="B10">
        <v>80</v>
      </c>
      <c r="C10">
        <v>84</v>
      </c>
      <c r="D10">
        <v>88</v>
      </c>
      <c r="E10" s="1">
        <v>2014</v>
      </c>
    </row>
    <row r="11" spans="1:5" x14ac:dyDescent="0.25">
      <c r="A11" t="s">
        <v>21</v>
      </c>
      <c r="B11">
        <v>6391</v>
      </c>
      <c r="C11">
        <v>6868</v>
      </c>
      <c r="D11">
        <v>7300</v>
      </c>
      <c r="E11" s="1">
        <v>2011</v>
      </c>
    </row>
    <row r="12" spans="1:5" x14ac:dyDescent="0.25">
      <c r="A12" t="s">
        <v>9</v>
      </c>
      <c r="B12">
        <v>2738</v>
      </c>
      <c r="C12">
        <v>2783</v>
      </c>
      <c r="D12">
        <v>2751</v>
      </c>
      <c r="E12" s="1">
        <v>2012</v>
      </c>
    </row>
    <row r="13" spans="1:5" x14ac:dyDescent="0.25">
      <c r="A13" t="s">
        <v>7</v>
      </c>
      <c r="B13">
        <v>7186</v>
      </c>
      <c r="C13">
        <v>7022</v>
      </c>
      <c r="D13">
        <v>6526</v>
      </c>
      <c r="E13" s="1">
        <v>2014</v>
      </c>
    </row>
    <row r="14" spans="1:5" x14ac:dyDescent="0.25">
      <c r="A14" t="s">
        <v>107</v>
      </c>
      <c r="B14">
        <v>4057</v>
      </c>
      <c r="C14">
        <v>4603</v>
      </c>
      <c r="D14">
        <v>4926</v>
      </c>
      <c r="E14" s="1">
        <v>2018</v>
      </c>
    </row>
    <row r="15" spans="1:5" x14ac:dyDescent="0.25">
      <c r="A15" t="s">
        <v>68</v>
      </c>
      <c r="B15">
        <v>2412</v>
      </c>
      <c r="C15">
        <v>2966</v>
      </c>
      <c r="D15">
        <v>3492</v>
      </c>
      <c r="E15" s="1">
        <v>2015</v>
      </c>
    </row>
    <row r="16" spans="1:5" x14ac:dyDescent="0.25">
      <c r="A16" t="s">
        <v>2</v>
      </c>
      <c r="B16">
        <f>SUM(B2:B15)</f>
        <v>188987</v>
      </c>
      <c r="C16">
        <f>SUM(C2:C15)</f>
        <v>193913</v>
      </c>
      <c r="D16">
        <f>SUM(D2:D15)</f>
        <v>196499</v>
      </c>
      <c r="E16"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195"/>
  <sheetViews>
    <sheetView workbookViewId="0">
      <selection activeCell="D25" sqref="D25"/>
    </sheetView>
  </sheetViews>
  <sheetFormatPr defaultColWidth="8.85546875" defaultRowHeight="15" x14ac:dyDescent="0.25"/>
  <cols>
    <col min="1" max="1" width="22.7109375" bestFit="1" customWidth="1"/>
    <col min="7" max="7" width="25.140625" bestFit="1" customWidth="1"/>
    <col min="8" max="8" width="17.5703125" bestFit="1" customWidth="1"/>
    <col min="11" max="11" width="15.7109375" customWidth="1"/>
  </cols>
  <sheetData>
    <row r="1" spans="1:14" x14ac:dyDescent="0.25">
      <c r="A1" t="s">
        <v>66</v>
      </c>
      <c r="B1" s="1">
        <v>2010</v>
      </c>
      <c r="C1" s="1" t="s">
        <v>237</v>
      </c>
      <c r="D1" s="1" t="s">
        <v>236</v>
      </c>
      <c r="E1" s="1">
        <v>2015</v>
      </c>
      <c r="F1" s="1">
        <v>2020</v>
      </c>
      <c r="G1" t="s">
        <v>235</v>
      </c>
      <c r="H1" t="s">
        <v>234</v>
      </c>
    </row>
    <row r="2" spans="1:14" x14ac:dyDescent="0.25">
      <c r="A2" t="s">
        <v>106</v>
      </c>
      <c r="B2">
        <v>5546</v>
      </c>
      <c r="C2">
        <v>0.79220952380952381</v>
      </c>
      <c r="E2">
        <v>6198</v>
      </c>
      <c r="F2">
        <v>6772</v>
      </c>
      <c r="J2" s="140" t="s">
        <v>233</v>
      </c>
      <c r="K2" s="140"/>
      <c r="L2">
        <v>2010</v>
      </c>
      <c r="M2">
        <v>2015</v>
      </c>
      <c r="N2">
        <v>2020</v>
      </c>
    </row>
    <row r="3" spans="1:14" x14ac:dyDescent="0.25">
      <c r="A3" t="s">
        <v>105</v>
      </c>
      <c r="B3">
        <v>14707</v>
      </c>
      <c r="C3">
        <v>0.89</v>
      </c>
      <c r="E3">
        <v>14317</v>
      </c>
      <c r="F3">
        <v>13839</v>
      </c>
      <c r="J3" s="140" t="s">
        <v>106</v>
      </c>
      <c r="K3" s="140"/>
      <c r="L3">
        <f>Vaccination!A3*(1+Vaccination!F3)</f>
        <v>0.79220952380952381</v>
      </c>
      <c r="M3">
        <f>L3*(1+Vaccination!F3)</f>
        <v>0.82578411791383222</v>
      </c>
      <c r="N3">
        <f>M3*(1+Vaccination!F3)</f>
        <v>0.86078163529208518</v>
      </c>
    </row>
    <row r="4" spans="1:14" x14ac:dyDescent="0.25">
      <c r="A4" t="s">
        <v>104</v>
      </c>
      <c r="B4">
        <v>1506</v>
      </c>
      <c r="C4">
        <v>0.732155844155844</v>
      </c>
      <c r="E4">
        <v>1647</v>
      </c>
      <c r="F4">
        <v>1783</v>
      </c>
      <c r="J4" s="140" t="s">
        <v>232</v>
      </c>
      <c r="K4" s="140"/>
      <c r="L4">
        <f>Vaccination!A4*(1+Vaccination!F4)</f>
        <v>0.97</v>
      </c>
      <c r="M4">
        <f>L4*(1+Vaccination!F4)</f>
        <v>0.97</v>
      </c>
      <c r="N4">
        <f>M4*(1+Vaccination!F4)</f>
        <v>0.97</v>
      </c>
    </row>
    <row r="5" spans="1:14" x14ac:dyDescent="0.25">
      <c r="A5" t="s">
        <v>58</v>
      </c>
      <c r="B5">
        <v>1235</v>
      </c>
      <c r="C5">
        <f>L23</f>
        <v>0.87578036283063287</v>
      </c>
      <c r="E5">
        <v>1267</v>
      </c>
      <c r="F5">
        <v>1301</v>
      </c>
      <c r="J5" s="140" t="s">
        <v>231</v>
      </c>
      <c r="K5" s="140"/>
      <c r="L5">
        <f>Vaccination!A5*(1+Vaccination!F5)</f>
        <v>0.86086956521739133</v>
      </c>
      <c r="M5">
        <f>L5*(1+Vaccination!F5)</f>
        <v>0.84215500945179589</v>
      </c>
      <c r="N5">
        <f>M5*(1+Vaccination!F5)</f>
        <v>0.8238472918550177</v>
      </c>
    </row>
    <row r="6" spans="1:14" x14ac:dyDescent="0.25">
      <c r="A6" t="s">
        <v>103</v>
      </c>
      <c r="B6">
        <v>2955</v>
      </c>
      <c r="C6">
        <f>L29</f>
        <v>0.75</v>
      </c>
      <c r="E6">
        <v>3369</v>
      </c>
      <c r="F6">
        <v>3795</v>
      </c>
      <c r="J6" s="140" t="s">
        <v>230</v>
      </c>
      <c r="K6" s="140"/>
      <c r="L6">
        <f>Vaccination!A6*(1+Vaccination!F6)</f>
        <v>1.0008510638297872</v>
      </c>
      <c r="M6">
        <f>L6*(1+Vaccination!F6)</f>
        <v>1.0221457673155272</v>
      </c>
      <c r="N6">
        <f>M6*(1+Vaccination!F6)</f>
        <v>1.0438935495988362</v>
      </c>
    </row>
    <row r="7" spans="1:14" x14ac:dyDescent="0.25">
      <c r="A7" t="s">
        <v>102</v>
      </c>
      <c r="B7">
        <v>1185</v>
      </c>
      <c r="C7">
        <f>L30</f>
        <v>0.92723484848484861</v>
      </c>
      <c r="E7">
        <v>1298</v>
      </c>
      <c r="F7">
        <v>1296</v>
      </c>
      <c r="J7" s="140" t="s">
        <v>62</v>
      </c>
      <c r="K7" s="140"/>
      <c r="L7">
        <f>Vaccination!A7*(1+Vaccination!F7)</f>
        <v>0.72087816455696208</v>
      </c>
      <c r="M7">
        <f>L7*(1+Vaccination!F7)</f>
        <v>0.67489003653897983</v>
      </c>
      <c r="N7">
        <f>M7*(1+Vaccination!F7)</f>
        <v>0.63183570236104003</v>
      </c>
    </row>
    <row r="8" spans="1:14" x14ac:dyDescent="0.25">
      <c r="A8" t="s">
        <v>101</v>
      </c>
      <c r="B8">
        <v>1492</v>
      </c>
      <c r="C8">
        <f>L31</f>
        <v>0.99373346607879398</v>
      </c>
      <c r="E8">
        <v>1483</v>
      </c>
      <c r="F8">
        <v>1452</v>
      </c>
      <c r="J8" s="140" t="s">
        <v>229</v>
      </c>
      <c r="K8" s="140"/>
      <c r="L8">
        <f>Vaccination!A8*(1+Vaccination!F8)</f>
        <v>0.99</v>
      </c>
      <c r="M8">
        <f>L8*(1+Vaccination!F8)</f>
        <v>0.99</v>
      </c>
      <c r="N8">
        <f>M8*(1+Vaccination!F8)</f>
        <v>0.99</v>
      </c>
    </row>
    <row r="9" spans="1:14" x14ac:dyDescent="0.25">
      <c r="A9" t="s">
        <v>57</v>
      </c>
      <c r="B9">
        <v>3055</v>
      </c>
      <c r="C9">
        <f>L32</f>
        <v>0.74224999999999997</v>
      </c>
      <c r="E9">
        <v>3237</v>
      </c>
      <c r="F9">
        <v>3360</v>
      </c>
      <c r="J9" s="140" t="s">
        <v>228</v>
      </c>
      <c r="K9" s="140"/>
      <c r="L9">
        <f>Vaccination!A9*(1+Vaccination!F9)</f>
        <v>0.99515516515884705</v>
      </c>
      <c r="M9">
        <f>L9*(1+Vaccination!F9)</f>
        <v>1.0003371744872043</v>
      </c>
      <c r="N9">
        <f>M9*(1+Vaccination!F9)</f>
        <v>1.0055461677690385</v>
      </c>
    </row>
    <row r="10" spans="1:14" x14ac:dyDescent="0.25">
      <c r="A10" t="s">
        <v>100</v>
      </c>
      <c r="B10">
        <v>651</v>
      </c>
      <c r="C10">
        <f>L35</f>
        <v>0.62</v>
      </c>
      <c r="E10">
        <v>704</v>
      </c>
      <c r="F10">
        <v>746</v>
      </c>
      <c r="J10" s="140" t="s">
        <v>61</v>
      </c>
      <c r="K10" s="140"/>
      <c r="L10">
        <f>Vaccination!A10*(1+Vaccination!F10)</f>
        <v>0.97537405628002727</v>
      </c>
      <c r="M10">
        <f>L10*(1+Vaccination!F10)</f>
        <v>0.99099432256682696</v>
      </c>
      <c r="N10">
        <f>M10*(1+Vaccination!F10)</f>
        <v>1.0068647418255039</v>
      </c>
    </row>
    <row r="11" spans="1:14" x14ac:dyDescent="0.25">
      <c r="A11" t="s">
        <v>99</v>
      </c>
      <c r="B11">
        <v>2006</v>
      </c>
      <c r="C11">
        <f>L36</f>
        <v>0.23</v>
      </c>
      <c r="E11">
        <v>2190</v>
      </c>
      <c r="F11">
        <v>2367</v>
      </c>
      <c r="J11" s="140" t="s">
        <v>227</v>
      </c>
      <c r="K11" s="140"/>
      <c r="L11">
        <f>Vaccination!A11*(1+Vaccination!F11)</f>
        <v>0.94000000000000006</v>
      </c>
      <c r="M11">
        <f>L11*(1+Vaccination!F11)</f>
        <v>0.94000000000000006</v>
      </c>
      <c r="N11">
        <f>M11*(1+Vaccination!F11)</f>
        <v>0.94000000000000006</v>
      </c>
    </row>
    <row r="12" spans="1:14" x14ac:dyDescent="0.25">
      <c r="A12" t="s">
        <v>98</v>
      </c>
      <c r="B12">
        <v>122</v>
      </c>
      <c r="C12">
        <f>L40</f>
        <v>0.87243825910931183</v>
      </c>
      <c r="E12">
        <v>129</v>
      </c>
      <c r="F12">
        <v>134</v>
      </c>
      <c r="J12" s="140" t="s">
        <v>226</v>
      </c>
      <c r="K12" s="140"/>
      <c r="L12">
        <f>Vaccination!A12*(1+Vaccination!F12)</f>
        <v>0.85101265822784811</v>
      </c>
      <c r="M12">
        <f>L12*(1+Vaccination!F12)</f>
        <v>0.87255728248678088</v>
      </c>
      <c r="N12">
        <f>M12*(1+Vaccination!F12)</f>
        <v>0.89464734027125625</v>
      </c>
    </row>
    <row r="13" spans="1:14" x14ac:dyDescent="0.25">
      <c r="A13" t="s">
        <v>225</v>
      </c>
      <c r="B13">
        <v>11848</v>
      </c>
      <c r="C13">
        <f>L49</f>
        <v>0.97505050505050506</v>
      </c>
      <c r="E13">
        <v>12822</v>
      </c>
      <c r="F13">
        <v>13721</v>
      </c>
      <c r="J13" s="140" t="s">
        <v>224</v>
      </c>
      <c r="K13" s="140"/>
      <c r="L13">
        <f>Vaccination!A13*(1+Vaccination!F13)</f>
        <v>0.67507575757575766</v>
      </c>
      <c r="M13">
        <f>L13*(1+Vaccination!F13)</f>
        <v>0.68018996786042252</v>
      </c>
      <c r="N13">
        <f>M13*(1+Vaccination!F13)</f>
        <v>0.68534292216239545</v>
      </c>
    </row>
    <row r="14" spans="1:14" x14ac:dyDescent="0.25">
      <c r="A14" t="s">
        <v>53</v>
      </c>
      <c r="B14">
        <v>2969</v>
      </c>
      <c r="C14">
        <f>L48</f>
        <v>0.67126984126984135</v>
      </c>
      <c r="E14">
        <v>3154</v>
      </c>
      <c r="F14">
        <v>3361</v>
      </c>
      <c r="J14" s="140" t="s">
        <v>223</v>
      </c>
      <c r="K14" s="140"/>
      <c r="L14">
        <f>Vaccination!A14*(1+Vaccination!F14)</f>
        <v>0.99293055555555565</v>
      </c>
      <c r="M14">
        <f>L14*(1+Vaccination!F14)</f>
        <v>1.0060317226080249</v>
      </c>
      <c r="N14">
        <f>M14*(1+Vaccination!F14)</f>
        <v>1.0193057522813254</v>
      </c>
    </row>
    <row r="15" spans="1:14" x14ac:dyDescent="0.25">
      <c r="A15" t="s">
        <v>52</v>
      </c>
      <c r="B15">
        <v>113</v>
      </c>
      <c r="C15">
        <f>L52</f>
        <v>0.72506756756756752</v>
      </c>
      <c r="E15">
        <v>121</v>
      </c>
      <c r="F15">
        <v>127</v>
      </c>
      <c r="J15" s="140" t="s">
        <v>222</v>
      </c>
      <c r="K15" s="140"/>
      <c r="L15">
        <f>Vaccination!A15*(1+Vaccination!F15)</f>
        <v>0.99</v>
      </c>
      <c r="M15">
        <f>L15*(1+Vaccination!F15)</f>
        <v>0.99</v>
      </c>
      <c r="N15">
        <f>M15*(1+Vaccination!F15)</f>
        <v>0.99</v>
      </c>
    </row>
    <row r="16" spans="1:14" x14ac:dyDescent="0.25">
      <c r="A16" t="s">
        <v>96</v>
      </c>
      <c r="B16">
        <v>861</v>
      </c>
      <c r="C16">
        <f>L59</f>
        <v>0.95000000000000007</v>
      </c>
      <c r="E16">
        <v>924</v>
      </c>
      <c r="F16">
        <v>939</v>
      </c>
      <c r="J16" s="140" t="s">
        <v>105</v>
      </c>
      <c r="K16" s="140"/>
      <c r="L16">
        <f>Vaccination!A16*(1+Vaccination!F16)</f>
        <v>0.89</v>
      </c>
      <c r="M16">
        <f>L16*(1+Vaccination!F16)</f>
        <v>0.89</v>
      </c>
      <c r="N16">
        <f>M16*(1+Vaccination!F16)</f>
        <v>0.89</v>
      </c>
    </row>
    <row r="17" spans="1:14" x14ac:dyDescent="0.25">
      <c r="A17" t="s">
        <v>95</v>
      </c>
      <c r="B17">
        <v>11932</v>
      </c>
      <c r="C17">
        <f>L61</f>
        <v>0.8069906444906445</v>
      </c>
      <c r="E17">
        <v>12111</v>
      </c>
      <c r="F17">
        <v>12258</v>
      </c>
      <c r="J17" s="140" t="s">
        <v>221</v>
      </c>
      <c r="K17" s="140"/>
      <c r="L17">
        <f>Vaccination!A17*(1+Vaccination!F17)</f>
        <v>1.0590666666666668</v>
      </c>
      <c r="M17">
        <f>L17*(1+Vaccination!F17)</f>
        <v>1.1932151111111113</v>
      </c>
      <c r="N17">
        <f>M17*(1+Vaccination!F17)</f>
        <v>1.3443556918518522</v>
      </c>
    </row>
    <row r="18" spans="1:14" x14ac:dyDescent="0.25">
      <c r="A18" t="s">
        <v>187</v>
      </c>
      <c r="B18">
        <v>287</v>
      </c>
      <c r="C18">
        <v>1</v>
      </c>
      <c r="E18">
        <v>313</v>
      </c>
      <c r="F18">
        <v>336</v>
      </c>
      <c r="J18" s="140" t="s">
        <v>220</v>
      </c>
      <c r="K18" s="140"/>
      <c r="L18">
        <f>Vaccination!A18*(1+Vaccination!F18)</f>
        <v>0.99</v>
      </c>
      <c r="M18">
        <f>L18*(1+Vaccination!F18)</f>
        <v>0.99</v>
      </c>
      <c r="N18">
        <f>M18*(1+Vaccination!F18)</f>
        <v>0.99</v>
      </c>
    </row>
    <row r="19" spans="1:14" x14ac:dyDescent="0.25">
      <c r="A19" t="s">
        <v>93</v>
      </c>
      <c r="B19">
        <v>3533</v>
      </c>
      <c r="E19">
        <v>3716</v>
      </c>
      <c r="F19">
        <v>3868</v>
      </c>
      <c r="J19" s="140" t="s">
        <v>219</v>
      </c>
      <c r="K19" s="140"/>
      <c r="L19">
        <f>Vaccination!A19*(1+Vaccination!F19)</f>
        <v>0.9501624590930341</v>
      </c>
      <c r="M19">
        <f>L19*(1+Vaccination!F19)</f>
        <v>0.96043478581885278</v>
      </c>
      <c r="N19">
        <f>M19*(1+Vaccination!F19)</f>
        <v>0.97081816797035381</v>
      </c>
    </row>
    <row r="20" spans="1:14" x14ac:dyDescent="0.25">
      <c r="A20" t="s">
        <v>92</v>
      </c>
      <c r="B20">
        <v>1658</v>
      </c>
      <c r="E20">
        <v>1798</v>
      </c>
      <c r="F20">
        <v>1932</v>
      </c>
      <c r="J20" s="140" t="s">
        <v>218</v>
      </c>
      <c r="K20" s="140"/>
      <c r="L20">
        <f>Vaccination!A20*(1+Vaccination!F20)</f>
        <v>0.97505208333333326</v>
      </c>
      <c r="M20">
        <f>L20*(1+Vaccination!F20)</f>
        <v>0.98013047960069433</v>
      </c>
      <c r="N20">
        <f>M20*(1+Vaccination!F20)</f>
        <v>0.98523532584861451</v>
      </c>
    </row>
    <row r="21" spans="1:14" x14ac:dyDescent="0.25">
      <c r="A21" t="s">
        <v>183</v>
      </c>
      <c r="B21">
        <v>240</v>
      </c>
      <c r="E21">
        <v>257</v>
      </c>
      <c r="F21">
        <v>277</v>
      </c>
      <c r="J21" s="140" t="s">
        <v>104</v>
      </c>
      <c r="K21" s="140"/>
      <c r="L21">
        <f>Vaccination!A21*(1+Vaccination!F21)</f>
        <v>0.732155844155844</v>
      </c>
      <c r="M21">
        <f>L21*(1+Vaccination!F21)</f>
        <v>0.74451691684938415</v>
      </c>
      <c r="N21">
        <f>M21*(1+Vaccination!F21)</f>
        <v>0.75708668297800996</v>
      </c>
    </row>
    <row r="22" spans="1:14" x14ac:dyDescent="0.25">
      <c r="A22" t="s">
        <v>46</v>
      </c>
      <c r="B22">
        <v>65</v>
      </c>
      <c r="E22">
        <v>61</v>
      </c>
      <c r="F22">
        <v>61</v>
      </c>
      <c r="J22" s="140" t="s">
        <v>59</v>
      </c>
      <c r="K22" s="140"/>
      <c r="L22">
        <f>Vaccination!A22*(1+Vaccination!F22)</f>
        <v>0.99568208399787339</v>
      </c>
      <c r="M22">
        <f>L22*(1+Vaccination!F22)</f>
        <v>1.0116151146881105</v>
      </c>
      <c r="N22">
        <f>M22*(1+Vaccination!F22)</f>
        <v>1.0278031077514342</v>
      </c>
    </row>
    <row r="23" spans="1:14" x14ac:dyDescent="0.25">
      <c r="A23" t="s">
        <v>90</v>
      </c>
      <c r="B23">
        <v>1237</v>
      </c>
      <c r="E23">
        <v>1240</v>
      </c>
      <c r="F23">
        <v>1232</v>
      </c>
      <c r="J23" s="140" t="s">
        <v>217</v>
      </c>
      <c r="K23" s="140"/>
      <c r="L23">
        <f>Vaccination!A23*(1+Vaccination!F23)</f>
        <v>0.87578036283063287</v>
      </c>
      <c r="M23">
        <f>L23*(1+Vaccination!F23)</f>
        <v>0.89185028362762209</v>
      </c>
      <c r="N23">
        <f>M23*(1+Vaccination!F23)</f>
        <v>0.90821507556511827</v>
      </c>
    </row>
    <row r="24" spans="1:14" x14ac:dyDescent="0.25">
      <c r="A24" t="s">
        <v>44</v>
      </c>
      <c r="B24" s="2">
        <v>127979</v>
      </c>
      <c r="C24" s="2"/>
      <c r="D24" s="2"/>
      <c r="E24" s="2">
        <v>127332</v>
      </c>
      <c r="F24" s="2">
        <v>125290</v>
      </c>
      <c r="J24" s="140" t="s">
        <v>216</v>
      </c>
      <c r="K24" s="140"/>
      <c r="L24">
        <f>Vaccination!A24*(1+Vaccination!F24)</f>
        <v>0.92169642857142864</v>
      </c>
      <c r="M24">
        <f>L24*(1+Vaccination!F24)</f>
        <v>0.91346699617346949</v>
      </c>
      <c r="N24">
        <f>M24*(1+Vaccination!F24)</f>
        <v>0.90531104085049208</v>
      </c>
    </row>
    <row r="25" spans="1:14" x14ac:dyDescent="0.25">
      <c r="A25" t="s">
        <v>89</v>
      </c>
      <c r="B25">
        <v>6664</v>
      </c>
      <c r="E25">
        <v>7460</v>
      </c>
      <c r="F25">
        <v>7986</v>
      </c>
      <c r="J25" s="140" t="s">
        <v>215</v>
      </c>
      <c r="K25" s="140"/>
      <c r="L25">
        <f>Vaccination!A25*(1+Vaccination!F25)</f>
        <v>0.94000000000000006</v>
      </c>
      <c r="M25">
        <f>L25*(1+Vaccination!F25)</f>
        <v>0.94000000000000006</v>
      </c>
      <c r="N25">
        <f>M25*(1+Vaccination!F25)</f>
        <v>0.94000000000000006</v>
      </c>
    </row>
    <row r="26" spans="1:14" x14ac:dyDescent="0.25">
      <c r="A26" t="s">
        <v>214</v>
      </c>
      <c r="B26">
        <v>1704</v>
      </c>
      <c r="E26">
        <v>1700</v>
      </c>
      <c r="F26">
        <v>1759</v>
      </c>
      <c r="J26" s="140" t="s">
        <v>213</v>
      </c>
      <c r="K26" s="140"/>
      <c r="L26">
        <f>Vaccination!A26*(1+Vaccination!F26)</f>
        <v>0.99</v>
      </c>
      <c r="M26">
        <f>L26*(1+Vaccination!F26)</f>
        <v>0.99</v>
      </c>
      <c r="N26">
        <f>M26*(1+Vaccination!F26)</f>
        <v>0.99</v>
      </c>
    </row>
    <row r="27" spans="1:14" x14ac:dyDescent="0.25">
      <c r="A27" t="s">
        <v>87</v>
      </c>
      <c r="B27">
        <v>595</v>
      </c>
      <c r="E27">
        <v>627</v>
      </c>
      <c r="F27">
        <v>628</v>
      </c>
      <c r="J27" s="140" t="s">
        <v>212</v>
      </c>
      <c r="K27" s="140"/>
      <c r="L27">
        <f>Vaccination!A27*(1+Vaccination!F27)</f>
        <v>0.99</v>
      </c>
      <c r="M27">
        <f>L27*(1+Vaccination!F27)</f>
        <v>0.99</v>
      </c>
      <c r="N27">
        <f>M27*(1+Vaccination!F27)</f>
        <v>0.99</v>
      </c>
    </row>
    <row r="28" spans="1:14" x14ac:dyDescent="0.25">
      <c r="A28" t="s">
        <v>86</v>
      </c>
      <c r="B28">
        <v>683</v>
      </c>
      <c r="E28">
        <v>668</v>
      </c>
      <c r="F28">
        <v>665</v>
      </c>
      <c r="J28" s="140" t="s">
        <v>211</v>
      </c>
      <c r="K28" s="140"/>
      <c r="L28">
        <f>Vaccination!A28*(1+Vaccination!F28)</f>
        <v>0.96</v>
      </c>
      <c r="M28">
        <f>L28*(1+Vaccination!F28)</f>
        <v>0.96</v>
      </c>
      <c r="N28">
        <f>M28*(1+Vaccination!F28)</f>
        <v>0.96</v>
      </c>
    </row>
    <row r="29" spans="1:14" x14ac:dyDescent="0.25">
      <c r="A29" t="s">
        <v>38</v>
      </c>
      <c r="B29">
        <v>274</v>
      </c>
      <c r="E29">
        <v>281</v>
      </c>
      <c r="F29">
        <v>281</v>
      </c>
      <c r="J29" s="140" t="s">
        <v>103</v>
      </c>
      <c r="K29" s="140"/>
      <c r="L29">
        <f>Vaccination!A29*(1+Vaccination!F29)</f>
        <v>0.75</v>
      </c>
      <c r="M29">
        <f>L29*(1+Vaccination!F29)</f>
        <v>0.75</v>
      </c>
      <c r="N29">
        <f>M29*(1+Vaccination!F29)</f>
        <v>0.75</v>
      </c>
    </row>
    <row r="30" spans="1:14" x14ac:dyDescent="0.25">
      <c r="A30" t="s">
        <v>85</v>
      </c>
      <c r="B30">
        <v>681</v>
      </c>
      <c r="E30">
        <v>732</v>
      </c>
      <c r="F30">
        <v>785</v>
      </c>
      <c r="J30" s="140" t="s">
        <v>102</v>
      </c>
      <c r="K30" s="140"/>
      <c r="L30">
        <f>Vaccination!A30*(1+Vaccination!F30)</f>
        <v>0.92723484848484861</v>
      </c>
      <c r="M30">
        <f>L30*(1+Vaccination!F30)</f>
        <v>0.94479611455463752</v>
      </c>
      <c r="N30">
        <f>M30*(1+Vaccination!F30)</f>
        <v>0.96268998036059661</v>
      </c>
    </row>
    <row r="31" spans="1:14" x14ac:dyDescent="0.25">
      <c r="A31" t="s">
        <v>84</v>
      </c>
      <c r="B31">
        <v>3305</v>
      </c>
      <c r="E31">
        <v>3670</v>
      </c>
      <c r="F31">
        <v>4081</v>
      </c>
      <c r="J31" s="140" t="s">
        <v>101</v>
      </c>
      <c r="K31" s="140"/>
      <c r="L31">
        <f>Vaccination!A31*(1+Vaccination!F31)</f>
        <v>0.99373346607879398</v>
      </c>
      <c r="M31">
        <f>L31*(1+Vaccination!F31)</f>
        <v>1.0733763060923627</v>
      </c>
      <c r="N31">
        <f>M31*(1+Vaccination!F31)</f>
        <v>1.1594021272391479</v>
      </c>
    </row>
    <row r="32" spans="1:14" x14ac:dyDescent="0.25">
      <c r="A32" t="s">
        <v>83</v>
      </c>
      <c r="B32">
        <v>2715</v>
      </c>
      <c r="E32">
        <v>3254</v>
      </c>
      <c r="F32">
        <v>3838</v>
      </c>
      <c r="J32" s="140" t="s">
        <v>57</v>
      </c>
      <c r="K32" s="140"/>
      <c r="L32">
        <f>Vaccination!A32*(1+Vaccination!F32)</f>
        <v>0.74224999999999997</v>
      </c>
      <c r="M32">
        <f>L32*(1+Vaccination!F32)</f>
        <v>0.74450684121621613</v>
      </c>
      <c r="N32">
        <f>M32*(1+Vaccination!F32)</f>
        <v>0.74677054444964375</v>
      </c>
    </row>
    <row r="33" spans="1:14" x14ac:dyDescent="0.25">
      <c r="A33" t="s">
        <v>82</v>
      </c>
      <c r="B33">
        <v>2912</v>
      </c>
      <c r="E33">
        <v>3248</v>
      </c>
      <c r="F33">
        <v>3601</v>
      </c>
      <c r="J33" s="140" t="s">
        <v>210</v>
      </c>
      <c r="K33" s="140"/>
      <c r="L33">
        <f>Vaccination!A33*(1+Vaccination!F33)</f>
        <v>0.92505319148936171</v>
      </c>
      <c r="M33">
        <f>L33*(1+Vaccination!F33)</f>
        <v>0.92013269578995016</v>
      </c>
      <c r="N33">
        <f>M33*(1+Vaccination!F33)</f>
        <v>0.91523837294000354</v>
      </c>
    </row>
    <row r="34" spans="1:14" x14ac:dyDescent="0.25">
      <c r="A34" t="s">
        <v>81</v>
      </c>
      <c r="B34">
        <v>513</v>
      </c>
      <c r="E34">
        <v>547</v>
      </c>
      <c r="F34">
        <v>576</v>
      </c>
      <c r="J34" s="140" t="s">
        <v>56</v>
      </c>
      <c r="K34" s="140"/>
      <c r="L34">
        <f>Vaccination!A34*(1+Vaccination!F34)</f>
        <v>0.96505263157894738</v>
      </c>
      <c r="M34">
        <f>L34*(1+Vaccination!F34)</f>
        <v>0.97013185595567875</v>
      </c>
      <c r="N34">
        <f>M34*(1+Vaccination!F34)</f>
        <v>0.97523781309228763</v>
      </c>
    </row>
    <row r="35" spans="1:14" x14ac:dyDescent="0.25">
      <c r="A35" t="s">
        <v>80</v>
      </c>
      <c r="B35">
        <v>3876</v>
      </c>
      <c r="E35">
        <v>4073</v>
      </c>
      <c r="F35">
        <v>4358</v>
      </c>
      <c r="J35" s="140" t="s">
        <v>100</v>
      </c>
      <c r="K35" s="140"/>
      <c r="L35">
        <f>Vaccination!A35*(1+Vaccination!F35)</f>
        <v>0.62</v>
      </c>
      <c r="M35">
        <f>L35*(1+Vaccination!F35)</f>
        <v>0.62</v>
      </c>
      <c r="N35">
        <f>M35*(1+Vaccination!F35)</f>
        <v>0.62</v>
      </c>
    </row>
    <row r="36" spans="1:14" x14ac:dyDescent="0.25">
      <c r="A36" t="s">
        <v>79</v>
      </c>
      <c r="B36">
        <v>3956</v>
      </c>
      <c r="E36">
        <v>3870</v>
      </c>
      <c r="F36">
        <v>3744</v>
      </c>
      <c r="J36" s="140" t="s">
        <v>99</v>
      </c>
      <c r="K36" s="140"/>
      <c r="L36">
        <f>Vaccination!A36*(1+Vaccination!F36)</f>
        <v>0.23</v>
      </c>
      <c r="M36">
        <f>L36*(1+Vaccination!F36)</f>
        <v>0.23</v>
      </c>
      <c r="N36">
        <f>M36*(1+Vaccination!F36)</f>
        <v>0.23</v>
      </c>
    </row>
    <row r="37" spans="1:14" x14ac:dyDescent="0.25">
      <c r="A37" t="s">
        <v>78</v>
      </c>
      <c r="B37">
        <v>3506</v>
      </c>
      <c r="E37">
        <v>3498</v>
      </c>
      <c r="F37">
        <v>3515</v>
      </c>
      <c r="J37" s="140" t="s">
        <v>209</v>
      </c>
      <c r="K37" s="140"/>
      <c r="L37">
        <f>Vaccination!A37*(1+Vaccination!F37)</f>
        <v>0.9808695652173911</v>
      </c>
      <c r="M37">
        <f>L37*(1+Vaccination!F37)</f>
        <v>1.0021928166351604</v>
      </c>
      <c r="N37">
        <f>M37*(1+Vaccination!F37)</f>
        <v>1.0239796169967941</v>
      </c>
    </row>
    <row r="38" spans="1:14" x14ac:dyDescent="0.25">
      <c r="A38" t="s">
        <v>31</v>
      </c>
      <c r="B38">
        <v>678</v>
      </c>
      <c r="E38">
        <v>668</v>
      </c>
      <c r="F38">
        <v>647</v>
      </c>
      <c r="J38" s="140" t="s">
        <v>55</v>
      </c>
      <c r="K38" s="140"/>
      <c r="L38">
        <f>Vaccination!A38*(1+Vaccination!F38)</f>
        <v>0.94000000000000006</v>
      </c>
      <c r="M38">
        <f>L38*(1+Vaccination!F38)</f>
        <v>0.94000000000000006</v>
      </c>
      <c r="N38">
        <f>M38*(1+Vaccination!F38)</f>
        <v>0.94000000000000006</v>
      </c>
    </row>
    <row r="39" spans="1:14" x14ac:dyDescent="0.25">
      <c r="A39" t="s">
        <v>77</v>
      </c>
      <c r="B39">
        <v>3085</v>
      </c>
      <c r="E39">
        <v>3602</v>
      </c>
      <c r="F39">
        <v>4241</v>
      </c>
      <c r="J39" s="140" t="s">
        <v>208</v>
      </c>
      <c r="K39" s="140"/>
      <c r="L39">
        <f>Vaccination!A39*(1+Vaccination!F39)</f>
        <v>0.95048913043478256</v>
      </c>
      <c r="M39">
        <f>L39*(1+Vaccination!F39)</f>
        <v>0.95097851271017797</v>
      </c>
      <c r="N39">
        <f>M39*(1+Vaccination!F39)</f>
        <v>0.95146814695585247</v>
      </c>
    </row>
    <row r="40" spans="1:14" x14ac:dyDescent="0.25">
      <c r="A40" t="s">
        <v>110</v>
      </c>
      <c r="B40">
        <v>26569</v>
      </c>
      <c r="E40">
        <v>29669</v>
      </c>
      <c r="F40">
        <v>32762</v>
      </c>
      <c r="J40" s="140" t="s">
        <v>98</v>
      </c>
      <c r="K40" s="140"/>
      <c r="L40">
        <f>Vaccination!A40*(1+Vaccination!F40)</f>
        <v>0.87243825910931183</v>
      </c>
      <c r="M40">
        <f>L40*(1+Vaccination!F40)</f>
        <v>0.96347913412365405</v>
      </c>
      <c r="N40">
        <f>M40*(1+Vaccination!F40)</f>
        <v>1.0640203271683391</v>
      </c>
    </row>
    <row r="41" spans="1:14" x14ac:dyDescent="0.25">
      <c r="A41" t="s">
        <v>151</v>
      </c>
      <c r="B41">
        <v>21418</v>
      </c>
      <c r="E41">
        <v>22096</v>
      </c>
      <c r="F41">
        <v>22238</v>
      </c>
      <c r="J41" s="140" t="s">
        <v>207</v>
      </c>
      <c r="K41" s="140"/>
      <c r="L41">
        <f>Vaccination!A41*(1+Vaccination!F41)</f>
        <v>0.81362932174570179</v>
      </c>
      <c r="M41">
        <f>L41*(1+Vaccination!F41)</f>
        <v>0.87104299105838257</v>
      </c>
      <c r="N41">
        <f>M41*(1+Vaccination!F41)</f>
        <v>0.93250805003444637</v>
      </c>
    </row>
    <row r="42" spans="1:14" x14ac:dyDescent="0.25">
      <c r="A42" t="s">
        <v>109</v>
      </c>
      <c r="B42">
        <v>962</v>
      </c>
      <c r="E42">
        <v>999</v>
      </c>
      <c r="F42">
        <v>1046</v>
      </c>
      <c r="J42" s="140" t="s">
        <v>206</v>
      </c>
      <c r="K42" s="140"/>
      <c r="L42">
        <f>Vaccination!A42*(1+Vaccination!F42)</f>
        <v>0.69827175080558546</v>
      </c>
      <c r="M42">
        <f>L42*(1+Vaccination!F42)</f>
        <v>0.62510697176038155</v>
      </c>
      <c r="N42">
        <f>M42*(1+Vaccination!F42)</f>
        <v>0.55960838411781955</v>
      </c>
    </row>
    <row r="43" spans="1:14" x14ac:dyDescent="0.25">
      <c r="A43" t="s">
        <v>76</v>
      </c>
      <c r="B43">
        <v>1831</v>
      </c>
      <c r="E43">
        <v>2128</v>
      </c>
      <c r="F43">
        <v>2251</v>
      </c>
      <c r="J43" s="140" t="s">
        <v>205</v>
      </c>
      <c r="K43" s="140"/>
      <c r="L43">
        <f>Vaccination!A43*(1+Vaccination!F43)</f>
        <v>0.76909550561797757</v>
      </c>
      <c r="M43">
        <f>L43*(1+Vaccination!F43)</f>
        <v>0.73025666266885503</v>
      </c>
      <c r="N43">
        <f>M43*(1+Vaccination!F43)</f>
        <v>0.69337915704469122</v>
      </c>
    </row>
    <row r="44" spans="1:14" x14ac:dyDescent="0.25">
      <c r="A44" t="s">
        <v>204</v>
      </c>
      <c r="B44">
        <v>23</v>
      </c>
      <c r="E44">
        <v>24</v>
      </c>
      <c r="F44">
        <v>25</v>
      </c>
      <c r="J44" s="140" t="s">
        <v>203</v>
      </c>
      <c r="K44" s="140"/>
      <c r="L44">
        <f>Vaccination!A44*(1+Vaccination!F44)</f>
        <v>0.99020833333333336</v>
      </c>
      <c r="M44">
        <f>L44*(1+Vaccination!F44)</f>
        <v>1.0005230034722223</v>
      </c>
      <c r="N44">
        <f>M44*(1+Vaccination!F44)</f>
        <v>1.0109451180917248</v>
      </c>
    </row>
    <row r="45" spans="1:14" x14ac:dyDescent="0.25">
      <c r="A45" t="s">
        <v>23</v>
      </c>
      <c r="B45">
        <v>2081</v>
      </c>
      <c r="E45">
        <v>2229</v>
      </c>
      <c r="F45">
        <v>2362</v>
      </c>
      <c r="J45" s="140" t="s">
        <v>202</v>
      </c>
      <c r="K45" s="140"/>
      <c r="L45">
        <f>Vaccination!A45*(1+Vaccination!F45)</f>
        <v>0.96</v>
      </c>
      <c r="M45">
        <f>L45*(1+Vaccination!F45)</f>
        <v>0.96</v>
      </c>
      <c r="N45">
        <f>M45*(1+Vaccination!F45)</f>
        <v>0.96</v>
      </c>
    </row>
    <row r="46" spans="1:14" x14ac:dyDescent="0.25">
      <c r="A46" t="s">
        <v>75</v>
      </c>
      <c r="B46">
        <v>970</v>
      </c>
      <c r="E46">
        <v>986</v>
      </c>
      <c r="F46">
        <v>1016</v>
      </c>
      <c r="J46" s="140" t="s">
        <v>201</v>
      </c>
      <c r="K46" s="140"/>
      <c r="L46">
        <f>Vaccination!A46*(1+Vaccination!F46)</f>
        <v>0.87</v>
      </c>
      <c r="M46">
        <f>L46*(1+Vaccination!F46)</f>
        <v>0.87</v>
      </c>
      <c r="N46">
        <f>M46*(1+Vaccination!F46)</f>
        <v>0.87</v>
      </c>
    </row>
    <row r="47" spans="1:14" x14ac:dyDescent="0.25">
      <c r="A47" t="s">
        <v>74</v>
      </c>
      <c r="B47">
        <v>80</v>
      </c>
      <c r="E47">
        <v>84</v>
      </c>
      <c r="F47">
        <v>88</v>
      </c>
      <c r="J47" s="140" t="s">
        <v>200</v>
      </c>
      <c r="K47" s="140"/>
      <c r="L47">
        <f>Vaccination!A47*(1+Vaccination!F47)</f>
        <v>0.98005154639175263</v>
      </c>
      <c r="M47">
        <f>L47*(1+Vaccination!F47)</f>
        <v>0.98010309549476082</v>
      </c>
      <c r="N47">
        <f>M47*(1+Vaccination!F47)</f>
        <v>0.98015464730916724</v>
      </c>
    </row>
    <row r="48" spans="1:14" x14ac:dyDescent="0.25">
      <c r="A48" t="s">
        <v>130</v>
      </c>
      <c r="B48">
        <v>1667</v>
      </c>
      <c r="E48">
        <v>1862</v>
      </c>
      <c r="F48">
        <v>2157</v>
      </c>
      <c r="J48" s="140" t="s">
        <v>53</v>
      </c>
      <c r="K48" s="140"/>
      <c r="L48">
        <f>Vaccination!A48*(1+Vaccination!F48)</f>
        <v>0.67126984126984135</v>
      </c>
      <c r="M48">
        <f>L48*(1+Vaccination!F48)</f>
        <v>0.67254208925139991</v>
      </c>
      <c r="N48">
        <f>M48*(1+Vaccination!F48)</f>
        <v>0.67381674850608153</v>
      </c>
    </row>
    <row r="49" spans="1:14" x14ac:dyDescent="0.25">
      <c r="A49" t="s">
        <v>21</v>
      </c>
      <c r="B49">
        <v>6391</v>
      </c>
      <c r="E49">
        <v>6868</v>
      </c>
      <c r="F49">
        <v>7300</v>
      </c>
      <c r="J49" s="140" t="s">
        <v>199</v>
      </c>
      <c r="K49" s="140"/>
      <c r="L49">
        <f>Vaccination!A49*(1+Vaccination!F49)</f>
        <v>0.97505050505050506</v>
      </c>
      <c r="M49">
        <f>L49*(1+Vaccination!F49)</f>
        <v>0.97012600755024991</v>
      </c>
      <c r="N49">
        <f>M49*(1+Vaccination!F49)</f>
        <v>0.96522638124949101</v>
      </c>
    </row>
    <row r="50" spans="1:14" x14ac:dyDescent="0.25">
      <c r="A50" t="s">
        <v>72</v>
      </c>
      <c r="B50">
        <v>871</v>
      </c>
      <c r="E50">
        <v>925</v>
      </c>
      <c r="F50">
        <v>957</v>
      </c>
      <c r="J50" s="140" t="s">
        <v>198</v>
      </c>
      <c r="K50" s="140"/>
      <c r="L50">
        <f>Vaccination!A50*(1+Vaccination!F50)</f>
        <v>0.80003028336577986</v>
      </c>
      <c r="M50">
        <f>L50*(1+Vaccination!F50)</f>
        <v>0.8421690188188552</v>
      </c>
      <c r="N50">
        <f>M50*(1+Vaccination!F50)</f>
        <v>0.88652726153622297</v>
      </c>
    </row>
    <row r="51" spans="1:14" x14ac:dyDescent="0.25">
      <c r="A51" t="s">
        <v>71</v>
      </c>
      <c r="B51">
        <v>8010</v>
      </c>
      <c r="E51">
        <v>9305</v>
      </c>
      <c r="F51">
        <v>10654</v>
      </c>
      <c r="J51" s="140" t="s">
        <v>197</v>
      </c>
      <c r="K51" s="140"/>
      <c r="L51">
        <f>Vaccination!A51*(1+Vaccination!F51)</f>
        <v>0.81607903913211921</v>
      </c>
      <c r="M51">
        <f>L51*(1+Vaccination!F51)</f>
        <v>0.79283928346524168</v>
      </c>
      <c r="N51">
        <f>M51*(1+Vaccination!F51)</f>
        <v>0.77026133409108621</v>
      </c>
    </row>
    <row r="52" spans="1:14" x14ac:dyDescent="0.25">
      <c r="A52" t="s">
        <v>70</v>
      </c>
      <c r="B52">
        <v>863</v>
      </c>
      <c r="E52">
        <v>903</v>
      </c>
      <c r="F52">
        <v>933</v>
      </c>
      <c r="J52" s="140" t="s">
        <v>52</v>
      </c>
      <c r="K52" s="140"/>
      <c r="L52">
        <f>Vaccination!A52*(1+Vaccination!F52)</f>
        <v>0.72506756756756752</v>
      </c>
      <c r="M52">
        <f>L52*(1+Vaccination!F52)</f>
        <v>0.72016846238130017</v>
      </c>
      <c r="N52">
        <f>M52*(1+Vaccination!F52)</f>
        <v>0.71530245925710212</v>
      </c>
    </row>
    <row r="53" spans="1:14" x14ac:dyDescent="0.25">
      <c r="A53" t="s">
        <v>69</v>
      </c>
      <c r="B53">
        <v>6465</v>
      </c>
      <c r="E53">
        <v>7244</v>
      </c>
      <c r="F53">
        <v>8007</v>
      </c>
      <c r="J53" s="140" t="s">
        <v>196</v>
      </c>
      <c r="K53" s="140"/>
      <c r="L53">
        <v>1</v>
      </c>
      <c r="M53">
        <f>L53*(1+Vaccination!F53)</f>
        <v>1.015625</v>
      </c>
      <c r="N53">
        <f>M53*(1+Vaccination!F53)</f>
        <v>1.031494140625</v>
      </c>
    </row>
    <row r="54" spans="1:14" x14ac:dyDescent="0.25">
      <c r="A54" t="s">
        <v>9</v>
      </c>
      <c r="B54">
        <v>2738</v>
      </c>
      <c r="E54">
        <v>2783</v>
      </c>
      <c r="F54">
        <v>2751</v>
      </c>
      <c r="J54" s="140" t="s">
        <v>195</v>
      </c>
      <c r="K54" s="140"/>
      <c r="L54">
        <f>Vaccination!A54*(1+Vaccination!F54)</f>
        <v>0.79</v>
      </c>
      <c r="M54">
        <f>L54*(1+Vaccination!F54)</f>
        <v>0.79</v>
      </c>
      <c r="N54">
        <f>M54*(1+Vaccination!F54)</f>
        <v>0.79</v>
      </c>
    </row>
    <row r="55" spans="1:14" x14ac:dyDescent="0.25">
      <c r="A55" t="s">
        <v>114</v>
      </c>
      <c r="B55">
        <v>7186</v>
      </c>
      <c r="E55">
        <v>7022</v>
      </c>
      <c r="F55">
        <v>6526</v>
      </c>
      <c r="J55" s="140" t="s">
        <v>51</v>
      </c>
      <c r="K55" s="140"/>
      <c r="L55">
        <f>Vaccination!A55*(1+Vaccination!F55)</f>
        <v>0.66</v>
      </c>
      <c r="M55">
        <f>L55*(1+Vaccination!F55)</f>
        <v>0.66</v>
      </c>
      <c r="N55">
        <f>M55*(1+Vaccination!F55)</f>
        <v>0.66</v>
      </c>
    </row>
    <row r="56" spans="1:14" x14ac:dyDescent="0.25">
      <c r="A56" t="s">
        <v>107</v>
      </c>
      <c r="B56">
        <v>4057</v>
      </c>
      <c r="E56">
        <v>4603</v>
      </c>
      <c r="F56">
        <v>4926</v>
      </c>
      <c r="J56" s="140" t="s">
        <v>194</v>
      </c>
      <c r="K56" s="140"/>
      <c r="L56">
        <f>Vaccination!A56*(1+Vaccination!F56)</f>
        <v>0.94100459435230854</v>
      </c>
      <c r="M56">
        <f>L56*(1+Vaccination!F56)</f>
        <v>0.93209436483384489</v>
      </c>
      <c r="N56">
        <f>M56*(1+Vaccination!F56)</f>
        <v>0.92326850492478396</v>
      </c>
    </row>
    <row r="57" spans="1:14" x14ac:dyDescent="0.25">
      <c r="A57" t="s">
        <v>68</v>
      </c>
      <c r="B57">
        <v>2412</v>
      </c>
      <c r="E57">
        <v>2966</v>
      </c>
      <c r="F57">
        <v>3492</v>
      </c>
      <c r="J57" s="140" t="s">
        <v>49</v>
      </c>
      <c r="K57" s="140"/>
      <c r="L57">
        <f>Vaccination!A57*(1+Vaccination!F57)</f>
        <v>0.93080808080808097</v>
      </c>
      <c r="M57">
        <f>L57*(1+Vaccination!F57)</f>
        <v>0.91200387715539255</v>
      </c>
      <c r="N57">
        <f>M57*(1+Vaccination!F57)</f>
        <v>0.8935795564047786</v>
      </c>
    </row>
    <row r="58" spans="1:14" x14ac:dyDescent="0.25">
      <c r="A58" t="s">
        <v>67</v>
      </c>
      <c r="B58">
        <v>1692</v>
      </c>
      <c r="E58">
        <v>1808</v>
      </c>
      <c r="F58">
        <v>1921</v>
      </c>
      <c r="J58" s="140" t="s">
        <v>193</v>
      </c>
      <c r="K58" s="140"/>
      <c r="L58">
        <f>Vaccination!A58*(1+Vaccination!F58)</f>
        <v>0.51</v>
      </c>
      <c r="M58">
        <f>L58*(1+Vaccination!F58)</f>
        <v>0.51</v>
      </c>
      <c r="N58">
        <f>M58*(1+Vaccination!F58)</f>
        <v>0.51</v>
      </c>
    </row>
    <row r="59" spans="1:14" x14ac:dyDescent="0.25">
      <c r="A59" t="s">
        <v>2</v>
      </c>
      <c r="B59">
        <f>SUM(B2:B58)</f>
        <v>328615</v>
      </c>
      <c r="E59">
        <f>SUM(E2:E58)</f>
        <v>342090</v>
      </c>
      <c r="F59">
        <f>SUM(F2:F58)</f>
        <v>352364</v>
      </c>
      <c r="J59" s="140" t="s">
        <v>96</v>
      </c>
      <c r="K59" s="140"/>
      <c r="L59">
        <f>Vaccination!A59*(1+Vaccination!F59)</f>
        <v>0.95000000000000007</v>
      </c>
      <c r="M59">
        <f>L59*(1+Vaccination!F59)</f>
        <v>0.95000000000000007</v>
      </c>
      <c r="N59">
        <f>M59*(1+Vaccination!F59)</f>
        <v>0.95000000000000007</v>
      </c>
    </row>
    <row r="60" spans="1:14" x14ac:dyDescent="0.25">
      <c r="J60" s="140" t="s">
        <v>192</v>
      </c>
      <c r="K60" s="140"/>
      <c r="L60">
        <f>Vaccination!A60*(1+Vaccination!F60)</f>
        <v>0.94505208333333346</v>
      </c>
      <c r="M60">
        <f>L60*(1+Vaccination!F60)</f>
        <v>0.94012993706597237</v>
      </c>
      <c r="N60">
        <f>M60*(1+Vaccination!F60)</f>
        <v>0.93523342697708711</v>
      </c>
    </row>
    <row r="61" spans="1:14" x14ac:dyDescent="0.25">
      <c r="J61" s="140" t="s">
        <v>95</v>
      </c>
      <c r="K61" s="140"/>
      <c r="L61">
        <f>Vaccination!A61*(1+Vaccination!F61)</f>
        <v>0.8069906444906445</v>
      </c>
      <c r="M61">
        <f>L61*(1+Vaccination!F61)</f>
        <v>0.86831186706056773</v>
      </c>
      <c r="N61">
        <f>M61*(1+Vaccination!F61)</f>
        <v>0.9342927376241098</v>
      </c>
    </row>
    <row r="62" spans="1:14" x14ac:dyDescent="0.25">
      <c r="J62" s="140" t="s">
        <v>191</v>
      </c>
      <c r="K62" s="140"/>
      <c r="L62">
        <f>Vaccination!A62*(1+Vaccination!F62)</f>
        <v>0.94000000000000006</v>
      </c>
      <c r="M62">
        <f>L62*(1+Vaccination!F62)</f>
        <v>0.94000000000000006</v>
      </c>
      <c r="N62">
        <f>M62*(1+Vaccination!F62)</f>
        <v>0.94000000000000006</v>
      </c>
    </row>
    <row r="63" spans="1:14" x14ac:dyDescent="0.25">
      <c r="J63" s="140" t="s">
        <v>190</v>
      </c>
      <c r="K63" s="140"/>
      <c r="L63">
        <f>Vaccination!A63*(1+Vaccination!F63)</f>
        <v>0.98005154639175263</v>
      </c>
      <c r="M63">
        <f>L63*(1+Vaccination!F63)</f>
        <v>0.98010309549476082</v>
      </c>
      <c r="N63">
        <f>M63*(1+Vaccination!F63)</f>
        <v>0.98015464730916724</v>
      </c>
    </row>
    <row r="64" spans="1:14" x14ac:dyDescent="0.25">
      <c r="J64" s="140" t="s">
        <v>189</v>
      </c>
      <c r="K64" s="140"/>
      <c r="L64">
        <f>Vaccination!A64*(1+Vaccination!F64)</f>
        <v>0.91551724137931034</v>
      </c>
      <c r="M64">
        <f>L64*(1+Vaccination!F64)</f>
        <v>0.93130202140309148</v>
      </c>
      <c r="N64">
        <f>M64*(1+Vaccination!F64)</f>
        <v>0.94735895280659299</v>
      </c>
    </row>
    <row r="65" spans="10:14" x14ac:dyDescent="0.25">
      <c r="J65" s="140" t="s">
        <v>188</v>
      </c>
      <c r="K65" s="140"/>
      <c r="L65">
        <f>Vaccination!A65*(1+Vaccination!F65)</f>
        <v>0.55000000000000004</v>
      </c>
      <c r="M65">
        <f>L65*(1+Vaccination!F65)</f>
        <v>0.55000000000000004</v>
      </c>
      <c r="N65">
        <f>M65*(1+Vaccination!F65)</f>
        <v>0.55000000000000004</v>
      </c>
    </row>
    <row r="66" spans="10:14" x14ac:dyDescent="0.25">
      <c r="J66" s="140" t="s">
        <v>187</v>
      </c>
      <c r="K66" s="140"/>
      <c r="L66">
        <v>1</v>
      </c>
      <c r="M66">
        <f>L66*(1+Vaccination!F66)</f>
        <v>1.0627666451195863</v>
      </c>
      <c r="N66">
        <f>M66*(1+Vaccination!F66)</f>
        <v>1.1294729419787406</v>
      </c>
    </row>
    <row r="67" spans="10:14" x14ac:dyDescent="0.25">
      <c r="J67" s="140" t="s">
        <v>48</v>
      </c>
      <c r="K67" s="140"/>
      <c r="L67">
        <f>Vaccination!A67*(1+Vaccination!F67)</f>
        <v>0.76952373281786957</v>
      </c>
      <c r="M67">
        <f>L67*(1+Vaccination!F67)</f>
        <v>0.71345394622885283</v>
      </c>
      <c r="N67">
        <f>M67*(1+Vaccination!F67)</f>
        <v>0.66146957095863423</v>
      </c>
    </row>
    <row r="68" spans="10:14" x14ac:dyDescent="0.25">
      <c r="J68" s="140" t="s">
        <v>186</v>
      </c>
      <c r="K68" s="140"/>
      <c r="L68">
        <f>Vaccination!A68*(1+Vaccination!F68)</f>
        <v>0.96</v>
      </c>
      <c r="M68">
        <f>L68*(1+Vaccination!F68)</f>
        <v>0.96</v>
      </c>
      <c r="N68">
        <f>M68*(1+Vaccination!F68)</f>
        <v>0.96</v>
      </c>
    </row>
    <row r="69" spans="10:14" x14ac:dyDescent="0.25">
      <c r="J69" s="140" t="s">
        <v>93</v>
      </c>
      <c r="K69" s="140"/>
      <c r="L69">
        <f>Vaccination!A69*(1+Vaccination!F69)</f>
        <v>0.92379620563035503</v>
      </c>
      <c r="M69">
        <f>L69*(1+Vaccination!F69)</f>
        <v>0.91763379520111954</v>
      </c>
      <c r="N69">
        <f>M69*(1+Vaccination!F69)</f>
        <v>0.91151249265051237</v>
      </c>
    </row>
    <row r="70" spans="10:14" x14ac:dyDescent="0.25">
      <c r="J70" s="140" t="s">
        <v>185</v>
      </c>
      <c r="K70" s="140"/>
      <c r="L70">
        <f>Vaccination!A70*(1+Vaccination!F70)</f>
        <v>0.99</v>
      </c>
      <c r="M70">
        <f>L70*(1+Vaccination!F70)</f>
        <v>0.99</v>
      </c>
      <c r="N70">
        <f>M70*(1+Vaccination!F70)</f>
        <v>0.99</v>
      </c>
    </row>
    <row r="71" spans="10:14" x14ac:dyDescent="0.25">
      <c r="J71" s="140" t="s">
        <v>184</v>
      </c>
      <c r="K71" s="140"/>
      <c r="L71">
        <f>Vaccination!A71*(1+Vaccination!F71)</f>
        <v>0.99505102040816318</v>
      </c>
      <c r="M71">
        <f>L71*(1+Vaccination!F71)</f>
        <v>1.0001278113286129</v>
      </c>
      <c r="N71">
        <f>M71*(1+Vaccination!F71)</f>
        <v>1.0052305042435548</v>
      </c>
    </row>
    <row r="72" spans="10:14" x14ac:dyDescent="0.25">
      <c r="J72" s="140" t="s">
        <v>47</v>
      </c>
      <c r="K72" s="140"/>
      <c r="L72">
        <f>Vaccination!A72*(1+Vaccination!F72)</f>
        <v>0.91567204301075267</v>
      </c>
      <c r="M72">
        <f>L72*(1+Vaccination!F72)</f>
        <v>0.91136444603422351</v>
      </c>
      <c r="N72">
        <f>M72*(1+Vaccination!F72)</f>
        <v>0.90707711329078289</v>
      </c>
    </row>
    <row r="73" spans="10:14" x14ac:dyDescent="0.25">
      <c r="J73" s="140" t="s">
        <v>92</v>
      </c>
      <c r="K73" s="140"/>
      <c r="L73">
        <f>Vaccination!A73*(1+Vaccination!F73)</f>
        <v>0.51</v>
      </c>
      <c r="M73">
        <f>L73*(1+Vaccination!F73)</f>
        <v>0.51</v>
      </c>
      <c r="N73">
        <f>M73*(1+Vaccination!F73)</f>
        <v>0.51</v>
      </c>
    </row>
    <row r="74" spans="10:14" x14ac:dyDescent="0.25">
      <c r="J74" s="140" t="s">
        <v>183</v>
      </c>
      <c r="K74" s="140"/>
      <c r="L74">
        <f>Vaccination!A74*(1+Vaccination!F74)</f>
        <v>0.76</v>
      </c>
      <c r="M74">
        <f>L74*(1+Vaccination!F74)</f>
        <v>0.76</v>
      </c>
      <c r="N74">
        <f>M74*(1+Vaccination!F74)</f>
        <v>0.76</v>
      </c>
    </row>
    <row r="75" spans="10:14" x14ac:dyDescent="0.25">
      <c r="J75" s="140" t="s">
        <v>46</v>
      </c>
      <c r="K75" s="140"/>
      <c r="L75">
        <f>Vaccination!A75*(1+Vaccination!F75)</f>
        <v>0.97515844298245624</v>
      </c>
      <c r="M75">
        <f>L75*(1+Vaccination!F75)</f>
        <v>0.98034431847419423</v>
      </c>
      <c r="N75">
        <f>M75*(1+Vaccination!F75)</f>
        <v>0.98555777236081699</v>
      </c>
    </row>
    <row r="76" spans="10:14" x14ac:dyDescent="0.25">
      <c r="J76" s="140" t="s">
        <v>90</v>
      </c>
      <c r="K76" s="140"/>
      <c r="L76">
        <f>Vaccination!A76*(1+Vaccination!F76)</f>
        <v>0.59</v>
      </c>
      <c r="M76">
        <f>L76*(1+Vaccination!F76)</f>
        <v>0.59</v>
      </c>
      <c r="N76">
        <f>M76*(1+Vaccination!F76)</f>
        <v>0.59</v>
      </c>
    </row>
    <row r="77" spans="10:14" x14ac:dyDescent="0.25">
      <c r="J77" s="140" t="s">
        <v>45</v>
      </c>
      <c r="K77" s="140"/>
      <c r="L77">
        <f>Vaccination!A77*(1+Vaccination!F77)</f>
        <v>1.0056858552631578</v>
      </c>
      <c r="M77">
        <f>L77*(1+Vaccination!F77)</f>
        <v>1.0216202418953426</v>
      </c>
      <c r="N77">
        <f>M77*(1+Vaccination!F77)</f>
        <v>1.0378070977016887</v>
      </c>
    </row>
    <row r="78" spans="10:14" x14ac:dyDescent="0.25">
      <c r="J78" s="140" t="s">
        <v>182</v>
      </c>
      <c r="K78" s="140"/>
      <c r="L78">
        <f>Vaccination!A78*(1+Vaccination!F78)</f>
        <v>0.99</v>
      </c>
      <c r="M78">
        <f>L78*(1+Vaccination!F78)</f>
        <v>0.99</v>
      </c>
      <c r="N78">
        <f>M78*(1+Vaccination!F78)</f>
        <v>0.99</v>
      </c>
    </row>
    <row r="79" spans="10:14" x14ac:dyDescent="0.25">
      <c r="J79" s="140" t="s">
        <v>181</v>
      </c>
      <c r="K79" s="140"/>
      <c r="L79">
        <f>Vaccination!A79*(1+Vaccination!F79)</f>
        <v>0.90567543859649124</v>
      </c>
      <c r="M79">
        <f>L79*(1+Vaccination!F79)</f>
        <v>0.89157391312711598</v>
      </c>
      <c r="N79">
        <f>M79*(1+Vaccination!F79)</f>
        <v>0.8776919508832508</v>
      </c>
    </row>
    <row r="80" spans="10:14" x14ac:dyDescent="0.25">
      <c r="J80" s="140" t="s">
        <v>44</v>
      </c>
      <c r="K80" s="140"/>
      <c r="L80">
        <f>Vaccination!A80*(1+Vaccination!F80)</f>
        <v>0.71</v>
      </c>
      <c r="M80">
        <f>L80*(1+Vaccination!F80)</f>
        <v>0.71</v>
      </c>
      <c r="N80">
        <f>M80*(1+Vaccination!F80)</f>
        <v>0.71</v>
      </c>
    </row>
    <row r="81" spans="10:14" x14ac:dyDescent="0.25">
      <c r="J81" s="140" t="s">
        <v>43</v>
      </c>
      <c r="K81" s="140"/>
      <c r="L81">
        <f>Vaccination!A81*(1+Vaccination!F81)</f>
        <v>0.82518369775397893</v>
      </c>
      <c r="M81">
        <f>L81*(1+Vaccination!F81)</f>
        <v>0.83040016468162192</v>
      </c>
      <c r="N81">
        <f>M81*(1+Vaccination!F81)</f>
        <v>0.83564960793596799</v>
      </c>
    </row>
    <row r="82" spans="10:14" x14ac:dyDescent="0.25">
      <c r="J82" s="140" t="s">
        <v>180</v>
      </c>
      <c r="K82" s="140"/>
      <c r="L82">
        <f>Vaccination!A82*(1+Vaccination!F82)</f>
        <v>1.0001541131916682</v>
      </c>
      <c r="M82">
        <f>L82*(1+Vaccination!F82)</f>
        <v>1.0104123738729418</v>
      </c>
      <c r="N82">
        <f>M82*(1+Vaccination!F82)</f>
        <v>1.0207758502512936</v>
      </c>
    </row>
    <row r="83" spans="10:14" x14ac:dyDescent="0.25">
      <c r="J83" s="140" t="s">
        <v>42</v>
      </c>
      <c r="K83" s="140"/>
      <c r="L83">
        <f>Vaccination!A83*(1+Vaccination!F83)</f>
        <v>0.69000000000000006</v>
      </c>
      <c r="M83">
        <f>L83*(1+Vaccination!F83)</f>
        <v>0.69000000000000006</v>
      </c>
      <c r="N83">
        <f>M83*(1+Vaccination!F83)</f>
        <v>0.69000000000000006</v>
      </c>
    </row>
    <row r="84" spans="10:14" x14ac:dyDescent="0.25">
      <c r="J84" s="140" t="s">
        <v>179</v>
      </c>
      <c r="K84" s="140"/>
      <c r="L84">
        <f>Vaccination!A84*(1+Vaccination!F84)</f>
        <v>0.90022988505747137</v>
      </c>
      <c r="M84">
        <f>L84*(1+Vaccination!F84)</f>
        <v>0.91057735500066073</v>
      </c>
      <c r="N84">
        <f>M84*(1+Vaccination!F84)</f>
        <v>0.92104376137997879</v>
      </c>
    </row>
    <row r="85" spans="10:14" x14ac:dyDescent="0.25">
      <c r="J85" s="140" t="s">
        <v>178</v>
      </c>
      <c r="K85" s="140"/>
      <c r="L85">
        <f>Vaccination!A85*(1+Vaccination!F85)</f>
        <v>0.96</v>
      </c>
      <c r="M85">
        <f>L85*(1+Vaccination!F85)</f>
        <v>0.96</v>
      </c>
      <c r="N85">
        <f>M85*(1+Vaccination!F85)</f>
        <v>0.96</v>
      </c>
    </row>
    <row r="86" spans="10:14" x14ac:dyDescent="0.25">
      <c r="J86" s="140" t="s">
        <v>177</v>
      </c>
      <c r="K86" s="140"/>
      <c r="L86">
        <f>Vaccination!A86*(1+Vaccination!F86)</f>
        <v>0.91505555555555562</v>
      </c>
      <c r="M86">
        <f>L86*(1+Vaccination!F86)</f>
        <v>0.92013919753086426</v>
      </c>
      <c r="N86">
        <f>M86*(1+Vaccination!F86)</f>
        <v>0.92525108196159123</v>
      </c>
    </row>
    <row r="87" spans="10:14" x14ac:dyDescent="0.25">
      <c r="J87" s="140" t="s">
        <v>176</v>
      </c>
      <c r="K87" s="140"/>
      <c r="L87">
        <f>Vaccination!A87*(1+Vaccination!F87)</f>
        <v>0.94947368421052636</v>
      </c>
      <c r="M87">
        <f>L87*(1+Vaccination!F87)</f>
        <v>1.0244321329639889</v>
      </c>
      <c r="N87">
        <f>M87*(1+Vaccination!F87)</f>
        <v>1.1053083539874617</v>
      </c>
    </row>
    <row r="88" spans="10:14" x14ac:dyDescent="0.25">
      <c r="J88" s="140" t="s">
        <v>175</v>
      </c>
      <c r="K88" s="140"/>
      <c r="L88">
        <f>Vaccination!A88*(1+Vaccination!F88)</f>
        <v>0.93015679824561415</v>
      </c>
      <c r="M88">
        <f>L88*(1+Vaccination!F88)</f>
        <v>0.92041666949205536</v>
      </c>
      <c r="N88">
        <f>M88*(1+Vaccination!F88)</f>
        <v>0.91077853441129974</v>
      </c>
    </row>
    <row r="89" spans="10:14" x14ac:dyDescent="0.25">
      <c r="J89" s="140" t="s">
        <v>41</v>
      </c>
      <c r="K89" s="140"/>
      <c r="L89">
        <f>Vaccination!A89*(1+Vaccination!F89)</f>
        <v>0.95000000000000007</v>
      </c>
      <c r="M89">
        <f>L89*(1+Vaccination!F89)</f>
        <v>0.95000000000000007</v>
      </c>
      <c r="N89">
        <f>M89*(1+Vaccination!F89)</f>
        <v>0.95000000000000007</v>
      </c>
    </row>
    <row r="90" spans="10:14" x14ac:dyDescent="0.25">
      <c r="J90" s="140" t="s">
        <v>174</v>
      </c>
      <c r="K90" s="140"/>
      <c r="L90">
        <f>Vaccination!A90*(1+Vaccination!F90)</f>
        <v>0.99</v>
      </c>
      <c r="M90">
        <f>L90*(1+Vaccination!F90)</f>
        <v>0.99</v>
      </c>
      <c r="N90">
        <f>M90*(1+Vaccination!F90)</f>
        <v>0.99</v>
      </c>
    </row>
    <row r="91" spans="10:14" x14ac:dyDescent="0.25">
      <c r="J91" s="140" t="s">
        <v>89</v>
      </c>
      <c r="K91" s="140"/>
      <c r="L91">
        <f>Vaccination!A91*(1+Vaccination!F91)</f>
        <v>0.71176315789473676</v>
      </c>
      <c r="M91">
        <f>L91*(1+Vaccination!F91)</f>
        <v>0.68460377423822705</v>
      </c>
      <c r="N91">
        <f>M91*(1+Vaccination!F91)</f>
        <v>0.65848073548439989</v>
      </c>
    </row>
    <row r="92" spans="10:14" x14ac:dyDescent="0.25">
      <c r="J92" s="140" t="s">
        <v>40</v>
      </c>
      <c r="K92" s="140"/>
      <c r="L92">
        <f>Vaccination!A92*(1+Vaccination!F92)</f>
        <v>0.78436379928315425</v>
      </c>
      <c r="M92">
        <f>L92*(1+Vaccination!F92)</f>
        <v>0.75027630442183446</v>
      </c>
      <c r="N92">
        <f>M92*(1+Vaccination!F92)</f>
        <v>0.7176702105468713</v>
      </c>
    </row>
    <row r="93" spans="10:14" x14ac:dyDescent="0.25">
      <c r="J93" s="140" t="s">
        <v>173</v>
      </c>
      <c r="K93" s="140"/>
      <c r="L93">
        <f>Vaccination!A93*(1+Vaccination!F93)</f>
        <v>0.97</v>
      </c>
      <c r="M93">
        <f>L93*(1+Vaccination!F93)</f>
        <v>0.97</v>
      </c>
      <c r="N93">
        <f>M93*(1+Vaccination!F93)</f>
        <v>0.97</v>
      </c>
    </row>
    <row r="94" spans="10:14" x14ac:dyDescent="0.25">
      <c r="J94" s="140" t="s">
        <v>172</v>
      </c>
      <c r="K94" s="140"/>
      <c r="L94">
        <f>Vaccination!A94*(1+Vaccination!F94)</f>
        <v>0.99</v>
      </c>
      <c r="M94">
        <f>L94*(1+Vaccination!F94)</f>
        <v>0.99</v>
      </c>
      <c r="N94">
        <f>M94*(1+Vaccination!F94)</f>
        <v>0.99</v>
      </c>
    </row>
    <row r="95" spans="10:14" x14ac:dyDescent="0.25">
      <c r="J95" s="140" t="s">
        <v>171</v>
      </c>
      <c r="K95" s="140"/>
      <c r="L95">
        <f>Vaccination!A95*(1+Vaccination!F95)</f>
        <v>0.7182115384615384</v>
      </c>
      <c r="M95">
        <f>L95*(1+Vaccination!F95)</f>
        <v>0.87428443047337268</v>
      </c>
      <c r="N95">
        <f>M95*(1+Vaccination!F95)</f>
        <v>1.0642731624800863</v>
      </c>
    </row>
    <row r="96" spans="10:14" x14ac:dyDescent="0.25">
      <c r="J96" s="140" t="s">
        <v>170</v>
      </c>
      <c r="K96" s="140"/>
      <c r="L96">
        <f>Vaccination!A96*(1+Vaccination!F96)</f>
        <v>0.9550515463917526</v>
      </c>
      <c r="M96">
        <f>L96*(1+Vaccination!F96)</f>
        <v>0.95012860027633117</v>
      </c>
      <c r="N96">
        <f>M96*(1+Vaccination!F96)</f>
        <v>0.94523103017181398</v>
      </c>
    </row>
    <row r="97" spans="10:14" x14ac:dyDescent="0.25">
      <c r="J97" s="140" t="s">
        <v>169</v>
      </c>
      <c r="K97" s="140"/>
      <c r="L97">
        <f>Vaccination!A97*(1+Vaccination!F97)</f>
        <v>0.53</v>
      </c>
      <c r="M97">
        <f>L97*(1+Vaccination!F97)</f>
        <v>0.53</v>
      </c>
      <c r="N97">
        <f>M97*(1+Vaccination!F97)</f>
        <v>0.53</v>
      </c>
    </row>
    <row r="98" spans="10:14" x14ac:dyDescent="0.25">
      <c r="J98" s="140" t="s">
        <v>38</v>
      </c>
      <c r="K98" s="140"/>
      <c r="L98">
        <f>Vaccination!A98*(1+Vaccination!F98)</f>
        <v>0.85</v>
      </c>
      <c r="M98">
        <f>L98*(1+Vaccination!F98)</f>
        <v>0.85</v>
      </c>
      <c r="N98">
        <f>M98*(1+Vaccination!F98)</f>
        <v>0.85</v>
      </c>
    </row>
    <row r="99" spans="10:14" x14ac:dyDescent="0.25">
      <c r="J99" s="140" t="s">
        <v>85</v>
      </c>
      <c r="K99" s="140"/>
      <c r="L99">
        <f>Vaccination!A99*(1+Vaccination!F99)</f>
        <v>0.64</v>
      </c>
      <c r="M99">
        <f>L99*(1+Vaccination!F99)</f>
        <v>0.64</v>
      </c>
      <c r="N99">
        <f>M99*(1+Vaccination!F99)</f>
        <v>0.64</v>
      </c>
    </row>
    <row r="100" spans="10:14" x14ac:dyDescent="0.25">
      <c r="J100" s="140" t="s">
        <v>168</v>
      </c>
      <c r="K100" s="140"/>
      <c r="L100">
        <f>Vaccination!A100*(1+Vaccination!F100)</f>
        <v>0.98</v>
      </c>
      <c r="M100">
        <f>L100*(1+Vaccination!F100)</f>
        <v>0.98</v>
      </c>
      <c r="N100">
        <f>M100*(1+Vaccination!F100)</f>
        <v>0.98</v>
      </c>
    </row>
    <row r="101" spans="10:14" x14ac:dyDescent="0.25">
      <c r="J101" s="140" t="s">
        <v>167</v>
      </c>
      <c r="K101" s="140"/>
      <c r="L101">
        <f>Vaccination!A101*(1+Vaccination!F101)</f>
        <v>0.9550515463917526</v>
      </c>
      <c r="M101">
        <f>L101*(1+Vaccination!F101)</f>
        <v>0.95012860027633117</v>
      </c>
      <c r="N101">
        <f>M101*(1+Vaccination!F101)</f>
        <v>0.94523103017181398</v>
      </c>
    </row>
    <row r="102" spans="10:14" x14ac:dyDescent="0.25">
      <c r="J102" s="140" t="s">
        <v>166</v>
      </c>
      <c r="K102" s="140"/>
      <c r="L102">
        <f>Vaccination!A102*(1+Vaccination!F102)</f>
        <v>0.96</v>
      </c>
      <c r="M102">
        <f>L102*(1+Vaccination!F102)</f>
        <v>0.96</v>
      </c>
      <c r="N102">
        <f>M102*(1+Vaccination!F102)</f>
        <v>0.96</v>
      </c>
    </row>
    <row r="103" spans="10:14" x14ac:dyDescent="0.25">
      <c r="J103" s="140" t="s">
        <v>84</v>
      </c>
      <c r="K103" s="140"/>
      <c r="L103">
        <f>Vaccination!A103*(1+Vaccination!F103)</f>
        <v>0.56911463844797172</v>
      </c>
      <c r="M103">
        <f>L103*(1+Vaccination!F103)</f>
        <v>0.50608042452463375</v>
      </c>
      <c r="N103">
        <f>M103*(1+Vaccination!F103)</f>
        <v>0.45002777785770781</v>
      </c>
    </row>
    <row r="104" spans="10:14" x14ac:dyDescent="0.25">
      <c r="J104" s="140" t="s">
        <v>83</v>
      </c>
      <c r="K104" s="140"/>
      <c r="L104">
        <f>Vaccination!A104*(1+Vaccination!F104)</f>
        <v>0.96861993428258486</v>
      </c>
      <c r="M104">
        <f>L104*(1+Vaccination!F104)</f>
        <v>1.019809322923477</v>
      </c>
      <c r="N104">
        <f>M104*(1+Vaccination!F104)</f>
        <v>1.0737039558162018</v>
      </c>
    </row>
    <row r="105" spans="10:14" x14ac:dyDescent="0.25">
      <c r="J105" s="140" t="s">
        <v>165</v>
      </c>
      <c r="K105" s="140"/>
      <c r="L105">
        <f>Vaccination!A105*(1+Vaccination!F105)</f>
        <v>0.95005319148936174</v>
      </c>
      <c r="M105">
        <f>L105*(1+Vaccination!F105)</f>
        <v>0.95010638595697028</v>
      </c>
      <c r="N105">
        <f>M105*(1+Vaccination!F105)</f>
        <v>0.95015958340299245</v>
      </c>
    </row>
    <row r="106" spans="10:14" x14ac:dyDescent="0.25">
      <c r="J106" s="140" t="s">
        <v>37</v>
      </c>
      <c r="K106" s="140"/>
      <c r="L106">
        <f>Vaccination!A106*(1+Vaccination!F106)</f>
        <v>0.98505154639175252</v>
      </c>
      <c r="M106">
        <f>L106*(1+Vaccination!F106)</f>
        <v>0.99012913168243166</v>
      </c>
      <c r="N106">
        <f>M106*(1+Vaccination!F106)</f>
        <v>0.99523289009316585</v>
      </c>
    </row>
    <row r="107" spans="10:14" x14ac:dyDescent="0.25">
      <c r="J107" s="140" t="s">
        <v>82</v>
      </c>
      <c r="K107" s="140"/>
      <c r="L107">
        <f>Vaccination!A107*(1+Vaccination!F107)</f>
        <v>0.70506944444444442</v>
      </c>
      <c r="M107">
        <f>L107*(1+Vaccination!F107)</f>
        <v>0.70017312885802463</v>
      </c>
      <c r="N107">
        <f>M107*(1+Vaccination!F107)</f>
        <v>0.6953108154631773</v>
      </c>
    </row>
    <row r="108" spans="10:14" x14ac:dyDescent="0.25">
      <c r="J108" s="140" t="s">
        <v>164</v>
      </c>
      <c r="K108" s="140"/>
      <c r="L108">
        <f>Vaccination!A108*(1+Vaccination!F108)</f>
        <v>0.83583576760791967</v>
      </c>
      <c r="M108">
        <f>L108*(1+Vaccination!F108)</f>
        <v>0.85197735416185394</v>
      </c>
      <c r="N108">
        <f>M108*(1+Vaccination!F108)</f>
        <v>0.8684306656102897</v>
      </c>
    </row>
    <row r="109" spans="10:14" x14ac:dyDescent="0.25">
      <c r="J109" s="140" t="s">
        <v>36</v>
      </c>
      <c r="K109" s="140"/>
      <c r="L109">
        <f>Vaccination!A109*(1+Vaccination!F109)</f>
        <v>0.94000000000000006</v>
      </c>
      <c r="M109">
        <f>L109*(1+Vaccination!F109)</f>
        <v>0.94000000000000006</v>
      </c>
      <c r="N109">
        <f>M109*(1+Vaccination!F109)</f>
        <v>0.94000000000000006</v>
      </c>
    </row>
    <row r="110" spans="10:14" x14ac:dyDescent="0.25">
      <c r="J110" s="140" t="s">
        <v>81</v>
      </c>
      <c r="K110" s="140"/>
      <c r="L110">
        <f>Vaccination!A110*(1+Vaccination!F110)</f>
        <v>0.55396326061997692</v>
      </c>
      <c r="M110">
        <f>L110*(1+Vaccination!F110)</f>
        <v>0.52012761714697708</v>
      </c>
      <c r="N110">
        <f>M110*(1+Vaccination!F110)</f>
        <v>0.48835862836142113</v>
      </c>
    </row>
    <row r="111" spans="10:14" x14ac:dyDescent="0.25">
      <c r="J111" s="140" t="s">
        <v>163</v>
      </c>
      <c r="K111" s="140"/>
      <c r="L111">
        <f>Vaccination!A111*(1+Vaccination!F111)</f>
        <v>0.99505102040816318</v>
      </c>
      <c r="M111">
        <f>L111*(1+Vaccination!F111)</f>
        <v>1.0001278113286129</v>
      </c>
      <c r="N111">
        <f>M111*(1+Vaccination!F111)</f>
        <v>1.0052305042435548</v>
      </c>
    </row>
    <row r="112" spans="10:14" x14ac:dyDescent="0.25">
      <c r="J112" s="140" t="s">
        <v>162</v>
      </c>
      <c r="K112" s="140"/>
      <c r="L112">
        <f>Vaccination!A112*(1+Vaccination!F112)</f>
        <v>0.94505208333333346</v>
      </c>
      <c r="M112">
        <f>L112*(1+Vaccination!F112)</f>
        <v>0.94012993706597237</v>
      </c>
      <c r="N112">
        <f>M112*(1+Vaccination!F112)</f>
        <v>0.93523342697708711</v>
      </c>
    </row>
    <row r="113" spans="10:14" x14ac:dyDescent="0.25">
      <c r="J113" s="140" t="s">
        <v>161</v>
      </c>
      <c r="K113" s="140"/>
      <c r="L113">
        <f>Vaccination!A113*(1+Vaccination!F113)</f>
        <v>0.83195652173913037</v>
      </c>
      <c r="M113">
        <f>L113*(1+Vaccination!F113)</f>
        <v>0.80482750472589781</v>
      </c>
      <c r="N113">
        <f>M113*(1+Vaccination!F113)</f>
        <v>0.77858312957179243</v>
      </c>
    </row>
    <row r="114" spans="10:14" x14ac:dyDescent="0.25">
      <c r="J114" s="140" t="s">
        <v>160</v>
      </c>
      <c r="K114" s="140"/>
      <c r="L114">
        <f>Vaccination!A114*(1+Vaccination!F114)</f>
        <v>0.99</v>
      </c>
      <c r="M114">
        <f>L114*(1+Vaccination!F114)</f>
        <v>0.99</v>
      </c>
      <c r="N114">
        <f>M114*(1+Vaccination!F114)</f>
        <v>0.99</v>
      </c>
    </row>
    <row r="115" spans="10:14" x14ac:dyDescent="0.25">
      <c r="J115" s="140" t="s">
        <v>33</v>
      </c>
      <c r="K115" s="140"/>
      <c r="L115">
        <f>Vaccination!A115*(1+Vaccination!F115)</f>
        <v>0.92066799915842634</v>
      </c>
      <c r="M115">
        <f>L115*(1+Vaccination!F115)</f>
        <v>0.90173357944082988</v>
      </c>
      <c r="N115">
        <f>M115*(1+Vaccination!F115)</f>
        <v>0.88318856421037728</v>
      </c>
    </row>
    <row r="116" spans="10:14" x14ac:dyDescent="0.25">
      <c r="J116" s="140" t="s">
        <v>159</v>
      </c>
      <c r="K116" s="140"/>
      <c r="L116">
        <f>Vaccination!A116*(1+Vaccination!F116)</f>
        <v>0.84072784019975033</v>
      </c>
      <c r="M116">
        <f>L116*(1+Vaccination!F116)</f>
        <v>0.82188755963597315</v>
      </c>
      <c r="N116">
        <f>M116*(1+Vaccination!F116)</f>
        <v>0.80346948011604091</v>
      </c>
    </row>
    <row r="117" spans="10:14" x14ac:dyDescent="0.25">
      <c r="J117" s="140" t="s">
        <v>32</v>
      </c>
      <c r="K117" s="140"/>
      <c r="L117">
        <f>Vaccination!A117*(1+Vaccination!F117)</f>
        <v>0.99536622807017527</v>
      </c>
      <c r="M117">
        <f>L117*(1+Vaccination!F117)</f>
        <v>1.0109733959006615</v>
      </c>
      <c r="N117">
        <f>M117*(1+Vaccination!F117)</f>
        <v>1.0268252813846301</v>
      </c>
    </row>
    <row r="118" spans="10:14" x14ac:dyDescent="0.25">
      <c r="J118" s="140" t="s">
        <v>80</v>
      </c>
      <c r="K118" s="140"/>
      <c r="L118">
        <f>Vaccination!A118*(1+Vaccination!F118)</f>
        <v>0.77</v>
      </c>
      <c r="M118">
        <f>L118*(1+Vaccination!F118)</f>
        <v>0.77</v>
      </c>
      <c r="N118">
        <f>M118*(1+Vaccination!F118)</f>
        <v>0.77</v>
      </c>
    </row>
    <row r="119" spans="10:14" x14ac:dyDescent="0.25">
      <c r="J119" s="140" t="s">
        <v>79</v>
      </c>
      <c r="K119" s="140"/>
      <c r="L119">
        <f>Vaccination!A119*(1+Vaccination!F119)</f>
        <v>0.90189476061427287</v>
      </c>
      <c r="M119">
        <f>L119*(1+Vaccination!F119)</f>
        <v>0.9349588037051455</v>
      </c>
      <c r="N119">
        <f>M119*(1+Vaccination!F119)</f>
        <v>0.96923499592167717</v>
      </c>
    </row>
    <row r="120" spans="10:14" x14ac:dyDescent="0.25">
      <c r="J120" s="140" t="s">
        <v>158</v>
      </c>
      <c r="K120" s="140"/>
      <c r="L120">
        <f>Vaccination!A120*(1+Vaccination!F120)</f>
        <v>0.79764542386341075</v>
      </c>
      <c r="M120">
        <f>L120*(1+Vaccination!F120)</f>
        <v>0.83715555553978971</v>
      </c>
      <c r="N120">
        <f>M120*(1+Vaccination!F120)</f>
        <v>0.87862276044492715</v>
      </c>
    </row>
    <row r="121" spans="10:14" x14ac:dyDescent="0.25">
      <c r="J121" s="140" t="s">
        <v>157</v>
      </c>
      <c r="K121" s="140"/>
      <c r="L121">
        <f>Vaccination!A121*(1+Vaccination!F121)</f>
        <v>0.99</v>
      </c>
      <c r="M121">
        <f>L121*(1+Vaccination!F121)</f>
        <v>0.99</v>
      </c>
      <c r="N121">
        <f>M121*(1+Vaccination!F121)</f>
        <v>0.99</v>
      </c>
    </row>
    <row r="122" spans="10:14" x14ac:dyDescent="0.25">
      <c r="J122" s="140" t="s">
        <v>78</v>
      </c>
      <c r="K122" s="140"/>
      <c r="L122">
        <f>Vaccination!A122*(1+Vaccination!F122)</f>
        <v>0.78024691358024689</v>
      </c>
      <c r="M122">
        <f>L122*(1+Vaccination!F122)</f>
        <v>0.77061423563481168</v>
      </c>
      <c r="N122">
        <f>M122*(1+Vaccination!F122)</f>
        <v>0.76110047963932015</v>
      </c>
    </row>
    <row r="123" spans="10:14" x14ac:dyDescent="0.25">
      <c r="J123" s="140" t="s">
        <v>156</v>
      </c>
      <c r="K123" s="140"/>
      <c r="L123">
        <f>Vaccination!A123*(1+Vaccination!F123)</f>
        <v>0.96</v>
      </c>
      <c r="M123">
        <f>L123*(1+Vaccination!F123)</f>
        <v>0.96</v>
      </c>
      <c r="N123">
        <f>M123*(1+Vaccination!F123)</f>
        <v>0.96</v>
      </c>
    </row>
    <row r="124" spans="10:14" x14ac:dyDescent="0.25">
      <c r="J124" s="140" t="s">
        <v>155</v>
      </c>
      <c r="K124" s="140"/>
      <c r="L124">
        <f>Vaccination!A124*(1+Vaccination!F124)</f>
        <v>0.94495363556078904</v>
      </c>
      <c r="M124">
        <f>L124*(1+Vaccination!F124)</f>
        <v>1.0033004195051152</v>
      </c>
      <c r="N124">
        <f>M124*(1+Vaccination!F124)</f>
        <v>1.0652498640123857</v>
      </c>
    </row>
    <row r="125" spans="10:14" x14ac:dyDescent="0.25">
      <c r="J125" s="140" t="s">
        <v>31</v>
      </c>
      <c r="K125" s="140"/>
      <c r="L125">
        <f>Vaccination!A125*(1+Vaccination!F125)</f>
        <v>0.99</v>
      </c>
      <c r="M125">
        <f>L125*(1+Vaccination!F125)</f>
        <v>0.99</v>
      </c>
      <c r="N125">
        <f>M125*(1+Vaccination!F125)</f>
        <v>0.99</v>
      </c>
    </row>
    <row r="126" spans="10:14" x14ac:dyDescent="0.25">
      <c r="J126" s="140" t="s">
        <v>77</v>
      </c>
      <c r="K126" s="140"/>
      <c r="L126">
        <f>Vaccination!A126*(1+Vaccination!F126)</f>
        <v>0.80521212121212116</v>
      </c>
      <c r="M126">
        <f>L126*(1+Vaccination!F126)</f>
        <v>0.8881733700642791</v>
      </c>
      <c r="N126">
        <f>M126*(1+Vaccination!F126)</f>
        <v>0.97968214152544719</v>
      </c>
    </row>
    <row r="127" spans="10:14" x14ac:dyDescent="0.25">
      <c r="J127" s="140" t="s">
        <v>110</v>
      </c>
      <c r="K127" s="140"/>
      <c r="L127">
        <f>Vaccination!A127*(1+Vaccination!F127)</f>
        <v>0.41000000000000003</v>
      </c>
      <c r="M127">
        <f>L127*(1+Vaccination!F127)</f>
        <v>0.41000000000000003</v>
      </c>
      <c r="N127">
        <f>M127*(1+Vaccination!F127)</f>
        <v>0.41000000000000003</v>
      </c>
    </row>
    <row r="128" spans="10:14" x14ac:dyDescent="0.25">
      <c r="J128" s="140" t="s">
        <v>154</v>
      </c>
      <c r="K128" s="140"/>
      <c r="L128">
        <f>Vaccination!A128*(1+Vaccination!F128)</f>
        <v>0.99</v>
      </c>
      <c r="M128">
        <f>L128*(1+Vaccination!F128)</f>
        <v>0.99</v>
      </c>
      <c r="N128">
        <f>M128*(1+Vaccination!F128)</f>
        <v>0.99</v>
      </c>
    </row>
    <row r="129" spans="10:14" x14ac:dyDescent="0.25">
      <c r="J129" s="140" t="s">
        <v>153</v>
      </c>
      <c r="K129" s="140"/>
      <c r="L129">
        <f>Vaccination!A129*(1+Vaccination!F129)</f>
        <v>0.92005376344086021</v>
      </c>
      <c r="M129">
        <f>L129*(1+Vaccination!F129)</f>
        <v>0.92010753002357637</v>
      </c>
      <c r="N129">
        <f>M129*(1+Vaccination!F129)</f>
        <v>0.92016129974833227</v>
      </c>
    </row>
    <row r="130" spans="10:14" x14ac:dyDescent="0.25">
      <c r="J130" s="140" t="s">
        <v>152</v>
      </c>
      <c r="K130" s="140"/>
      <c r="L130">
        <f>Vaccination!A130*(1+Vaccination!F130)</f>
        <v>0.97</v>
      </c>
      <c r="M130">
        <f>L130*(1+Vaccination!F130)</f>
        <v>0.97</v>
      </c>
      <c r="N130">
        <f>M130*(1+Vaccination!F130)</f>
        <v>0.97</v>
      </c>
    </row>
    <row r="131" spans="10:14" x14ac:dyDescent="0.25">
      <c r="J131" s="140" t="s">
        <v>151</v>
      </c>
      <c r="K131" s="140"/>
      <c r="L131">
        <f>Vaccination!A131*(1+Vaccination!F131)</f>
        <v>0.80147058823529427</v>
      </c>
      <c r="M131">
        <f>L131*(1+Vaccination!F131)</f>
        <v>0.80294387975778569</v>
      </c>
      <c r="N131">
        <f>M131*(1+Vaccination!F131)</f>
        <v>0.80441987953675231</v>
      </c>
    </row>
    <row r="132" spans="10:14" x14ac:dyDescent="0.25">
      <c r="J132" s="140" t="s">
        <v>150</v>
      </c>
      <c r="K132" s="140"/>
      <c r="L132">
        <f>Vaccination!A132*(1+Vaccination!F132)</f>
        <v>0.68967372833352214</v>
      </c>
      <c r="M132">
        <f>L132*(1+Vaccination!F132)</f>
        <v>0.63419980207128113</v>
      </c>
      <c r="N132">
        <f>M132*(1+Vaccination!F132)</f>
        <v>0.58318792267050967</v>
      </c>
    </row>
    <row r="133" spans="10:14" x14ac:dyDescent="0.25">
      <c r="J133" s="140" t="s">
        <v>149</v>
      </c>
      <c r="K133" s="140"/>
      <c r="L133">
        <f>Vaccination!A133*(1+Vaccination!F133)</f>
        <v>0.83089887640449434</v>
      </c>
      <c r="M133">
        <f>L133*(1+Vaccination!F133)</f>
        <v>0.81222699154147193</v>
      </c>
      <c r="N133">
        <f>M133*(1+Vaccination!F133)</f>
        <v>0.79397469959671974</v>
      </c>
    </row>
    <row r="134" spans="10:14" x14ac:dyDescent="0.25">
      <c r="J134" s="140" t="s">
        <v>109</v>
      </c>
      <c r="K134" s="140"/>
      <c r="L134">
        <f>Vaccination!A134*(1+Vaccination!F134)</f>
        <v>0.58148148148148149</v>
      </c>
      <c r="M134">
        <f>L134*(1+Vaccination!F134)</f>
        <v>0.58296674707913543</v>
      </c>
      <c r="N134">
        <f>M134*(1+Vaccination!F134)</f>
        <v>0.58445580645864792</v>
      </c>
    </row>
    <row r="135" spans="10:14" x14ac:dyDescent="0.25">
      <c r="J135" s="140" t="s">
        <v>27</v>
      </c>
      <c r="K135" s="140"/>
      <c r="L135">
        <f>Vaccination!A135*(1+Vaccination!F135)</f>
        <v>0.91</v>
      </c>
      <c r="M135">
        <f>L135*(1+Vaccination!F135)</f>
        <v>0.91</v>
      </c>
      <c r="N135">
        <f>M135*(1+Vaccination!F135)</f>
        <v>0.91</v>
      </c>
    </row>
    <row r="136" spans="10:14" x14ac:dyDescent="0.25">
      <c r="J136" s="140" t="s">
        <v>148</v>
      </c>
      <c r="K136" s="140"/>
      <c r="L136">
        <f>Vaccination!A136*(1+Vaccination!F136)</f>
        <v>0.89110818713450302</v>
      </c>
      <c r="M136">
        <f>L136*(1+Vaccination!F136)</f>
        <v>0.87260857272323122</v>
      </c>
      <c r="N136">
        <f>M136*(1+Vaccination!F136)</f>
        <v>0.85449301463453253</v>
      </c>
    </row>
    <row r="137" spans="10:14" x14ac:dyDescent="0.25">
      <c r="J137" s="140" t="s">
        <v>26</v>
      </c>
      <c r="K137" s="140"/>
      <c r="L137">
        <f>Vaccination!A137*(1+Vaccination!F137)</f>
        <v>0.86086956521739133</v>
      </c>
      <c r="M137">
        <f>L137*(1+Vaccination!F137)</f>
        <v>0.84215500945179589</v>
      </c>
      <c r="N137">
        <f>M137*(1+Vaccination!F137)</f>
        <v>0.8238472918550177</v>
      </c>
    </row>
    <row r="138" spans="10:14" x14ac:dyDescent="0.25">
      <c r="J138" s="140" t="s">
        <v>147</v>
      </c>
      <c r="K138" s="140"/>
      <c r="L138">
        <f>Vaccination!A138*(1+Vaccination!F138)</f>
        <v>0.98</v>
      </c>
      <c r="M138">
        <f>L138*(1+Vaccination!F138)</f>
        <v>0.98</v>
      </c>
      <c r="N138">
        <f>M138*(1+Vaccination!F138)</f>
        <v>0.98</v>
      </c>
    </row>
    <row r="139" spans="10:14" x14ac:dyDescent="0.25">
      <c r="J139" s="140" t="s">
        <v>146</v>
      </c>
      <c r="K139" s="140"/>
      <c r="L139">
        <f>Vaccination!A139*(1+Vaccination!F139)</f>
        <v>0.95020618556701042</v>
      </c>
      <c r="M139">
        <f>L139*(1+Vaccination!F139)</f>
        <v>0.95041241588400815</v>
      </c>
      <c r="N139">
        <f>M139*(1+Vaccination!F139)</f>
        <v>0.95061869096070573</v>
      </c>
    </row>
    <row r="140" spans="10:14" x14ac:dyDescent="0.25">
      <c r="J140" s="140" t="s">
        <v>145</v>
      </c>
      <c r="K140" s="140"/>
      <c r="L140">
        <f>Vaccination!A140*(1+Vaccination!F140)</f>
        <v>1.0269904891304347</v>
      </c>
      <c r="M140">
        <f>L140*(1+Vaccination!F140)</f>
        <v>1.0653630957215854</v>
      </c>
      <c r="N140">
        <f>M140*(1+Vaccination!F140)</f>
        <v>1.1051694613905303</v>
      </c>
    </row>
    <row r="141" spans="10:14" x14ac:dyDescent="0.25">
      <c r="J141" s="140" t="s">
        <v>144</v>
      </c>
      <c r="K141" s="140"/>
      <c r="L141">
        <f>Vaccination!A141*(1+Vaccination!F141)</f>
        <v>0.93505434782608687</v>
      </c>
      <c r="M141">
        <f>L141*(1+Vaccination!F141)</f>
        <v>0.94013616493383723</v>
      </c>
      <c r="N141">
        <f>M141*(1+Vaccination!F141)</f>
        <v>0.94524560061282537</v>
      </c>
    </row>
    <row r="142" spans="10:14" x14ac:dyDescent="0.25">
      <c r="J142" s="140" t="s">
        <v>143</v>
      </c>
      <c r="K142" s="140"/>
      <c r="L142">
        <f>Vaccination!A142*(1+Vaccination!F142)</f>
        <v>0.87611422172452402</v>
      </c>
      <c r="M142">
        <f>L142*(1+Vaccination!F142)</f>
        <v>0.85286236611996491</v>
      </c>
      <c r="N142">
        <f>M142*(1+Vaccination!F142)</f>
        <v>0.83022760903481019</v>
      </c>
    </row>
    <row r="143" spans="10:14" x14ac:dyDescent="0.25">
      <c r="J143" s="140" t="s">
        <v>142</v>
      </c>
      <c r="K143" s="140"/>
      <c r="L143">
        <f>Vaccination!A143*(1+Vaccination!F143)</f>
        <v>0.97</v>
      </c>
      <c r="M143">
        <f>L143*(1+Vaccination!F143)</f>
        <v>0.97</v>
      </c>
      <c r="N143">
        <f>M143*(1+Vaccination!F143)</f>
        <v>0.97</v>
      </c>
    </row>
    <row r="144" spans="10:14" x14ac:dyDescent="0.25">
      <c r="J144" s="140" t="s">
        <v>141</v>
      </c>
      <c r="K144" s="140"/>
      <c r="L144">
        <f>Vaccination!A144*(1+Vaccination!F144)</f>
        <v>0.97505050505050506</v>
      </c>
      <c r="M144">
        <f>L144*(1+Vaccination!F144)</f>
        <v>0.97012600755024991</v>
      </c>
      <c r="N144">
        <f>M144*(1+Vaccination!F144)</f>
        <v>0.96522638124949101</v>
      </c>
    </row>
    <row r="145" spans="10:14" x14ac:dyDescent="0.25">
      <c r="J145" s="140" t="s">
        <v>76</v>
      </c>
      <c r="K145" s="140"/>
      <c r="L145">
        <f>Vaccination!A145*(1+Vaccination!F145)</f>
        <v>0.91021276595744693</v>
      </c>
      <c r="M145">
        <f>L145*(1+Vaccination!F145)</f>
        <v>0.90052965142598473</v>
      </c>
      <c r="N145">
        <f>M145*(1+Vaccination!F145)</f>
        <v>0.89094954875124022</v>
      </c>
    </row>
    <row r="146" spans="10:14" x14ac:dyDescent="0.25">
      <c r="J146" s="140" t="s">
        <v>140</v>
      </c>
      <c r="K146" s="140"/>
      <c r="L146">
        <f>Vaccination!A146*(1+Vaccination!F146)</f>
        <v>0.99</v>
      </c>
      <c r="M146">
        <f>L146*(1+Vaccination!F146)</f>
        <v>0.99</v>
      </c>
      <c r="N146">
        <f>M146*(1+Vaccination!F146)</f>
        <v>0.99</v>
      </c>
    </row>
    <row r="147" spans="10:14" x14ac:dyDescent="0.25">
      <c r="J147" s="140" t="s">
        <v>139</v>
      </c>
      <c r="K147" s="140"/>
      <c r="L147">
        <f>Vaccination!A147*(1+Vaccination!F147)</f>
        <v>1.0163297872340427</v>
      </c>
      <c r="M147">
        <f>L147*(1+Vaccination!F147)</f>
        <v>1.0433598347668631</v>
      </c>
      <c r="N147">
        <f>M147*(1+Vaccination!F147)</f>
        <v>1.0711087665425776</v>
      </c>
    </row>
    <row r="148" spans="10:14" x14ac:dyDescent="0.25">
      <c r="J148" s="140" t="s">
        <v>138</v>
      </c>
      <c r="K148" s="140"/>
      <c r="L148">
        <f>Vaccination!A148*(1+Vaccination!F148)</f>
        <v>0.99</v>
      </c>
      <c r="M148">
        <f>L148*(1+Vaccination!F148)</f>
        <v>0.99</v>
      </c>
      <c r="N148">
        <f>M148*(1+Vaccination!F148)</f>
        <v>0.99</v>
      </c>
    </row>
    <row r="149" spans="10:14" x14ac:dyDescent="0.25">
      <c r="J149" s="140" t="s">
        <v>25</v>
      </c>
      <c r="K149" s="140"/>
      <c r="L149">
        <f>Vaccination!A149*(1+Vaccination!F149)</f>
        <v>0.44177777777777777</v>
      </c>
      <c r="M149">
        <f>L149*(1+Vaccination!F149)</f>
        <v>0.39830123456790123</v>
      </c>
      <c r="N149">
        <f>M149*(1+Vaccination!F149)</f>
        <v>0.3591033352929649</v>
      </c>
    </row>
    <row r="150" spans="10:14" x14ac:dyDescent="0.25">
      <c r="J150" s="140" t="s">
        <v>137</v>
      </c>
      <c r="K150" s="140"/>
      <c r="L150">
        <f>Vaccination!A150*(1+Vaccination!F150)</f>
        <v>0.9447260273972603</v>
      </c>
      <c r="M150">
        <f>L150*(1+Vaccination!F150)</f>
        <v>0.97011659439327058</v>
      </c>
      <c r="N150">
        <f>M150*(1+Vaccination!F150)</f>
        <v>0.99618956123186275</v>
      </c>
    </row>
    <row r="151" spans="10:14" x14ac:dyDescent="0.25">
      <c r="J151" s="140" t="s">
        <v>108</v>
      </c>
      <c r="K151" s="140"/>
      <c r="L151">
        <f>Vaccination!A151*(1+Vaccination!F151)</f>
        <v>0.92211177794448618</v>
      </c>
      <c r="M151">
        <f>L151*(1+Vaccination!F151)</f>
        <v>0.94476681224882375</v>
      </c>
      <c r="N151">
        <f>M151*(1+Vaccination!F151)</f>
        <v>0.96797844998411942</v>
      </c>
    </row>
    <row r="152" spans="10:14" x14ac:dyDescent="0.25">
      <c r="J152" s="140" t="s">
        <v>136</v>
      </c>
      <c r="K152" s="140"/>
      <c r="L152">
        <f>Vaccination!A152*(1+Vaccination!F152)</f>
        <v>0.9901557130584191</v>
      </c>
      <c r="M152">
        <f>L152*(1+Vaccination!F152)</f>
        <v>1.0004166694920678</v>
      </c>
      <c r="N152">
        <f>M152*(1+Vaccination!F152)</f>
        <v>1.0107839599351502</v>
      </c>
    </row>
    <row r="153" spans="10:14" x14ac:dyDescent="0.25">
      <c r="J153" s="140" t="s">
        <v>23</v>
      </c>
      <c r="K153" s="140"/>
      <c r="L153">
        <f>Vaccination!A153*(1+Vaccination!F153)</f>
        <v>0.76734307359307363</v>
      </c>
      <c r="M153">
        <f>L153*(1+Vaccination!F153)</f>
        <v>0.74533593998894332</v>
      </c>
      <c r="N153">
        <f>M153*(1+Vaccination!F153)</f>
        <v>0.7239599633550613</v>
      </c>
    </row>
    <row r="154" spans="10:14" x14ac:dyDescent="0.25">
      <c r="J154" s="140" t="s">
        <v>135</v>
      </c>
      <c r="K154" s="140"/>
      <c r="L154">
        <f>Vaccination!A154*(1+Vaccination!F154)</f>
        <v>0.95048913043478256</v>
      </c>
      <c r="M154">
        <f>L154*(1+Vaccination!F154)</f>
        <v>0.95097851271017797</v>
      </c>
      <c r="N154">
        <f>M154*(1+Vaccination!F154)</f>
        <v>0.95146814695585247</v>
      </c>
    </row>
    <row r="155" spans="10:14" x14ac:dyDescent="0.25">
      <c r="J155" s="140" t="s">
        <v>134</v>
      </c>
      <c r="K155" s="140"/>
      <c r="L155">
        <f>Vaccination!A155*(1+Vaccination!F155)</f>
        <v>0.96020202020202017</v>
      </c>
      <c r="M155">
        <f>L155*(1+Vaccination!F155)</f>
        <v>0.95050300989694925</v>
      </c>
      <c r="N155">
        <f>M155*(1+Vaccination!F155)</f>
        <v>0.94090196939293957</v>
      </c>
    </row>
    <row r="156" spans="10:14" x14ac:dyDescent="0.25">
      <c r="J156" s="140" t="s">
        <v>75</v>
      </c>
      <c r="K156" s="140"/>
      <c r="L156">
        <f>Vaccination!A156*(1+Vaccination!F156)</f>
        <v>0.77239393939393941</v>
      </c>
      <c r="M156">
        <f>L156*(1+Vaccination!F156)</f>
        <v>0.84027098255280075</v>
      </c>
      <c r="N156">
        <f>M156*(1+Vaccination!F156)</f>
        <v>0.91411297798925906</v>
      </c>
    </row>
    <row r="157" spans="10:14" x14ac:dyDescent="0.25">
      <c r="J157" s="140" t="s">
        <v>133</v>
      </c>
      <c r="K157" s="140"/>
      <c r="L157">
        <f>Vaccination!A157*(1+Vaccination!F157)</f>
        <v>0.95000000000000007</v>
      </c>
      <c r="M157">
        <f>L157*(1+Vaccination!F157)</f>
        <v>0.95000000000000007</v>
      </c>
      <c r="N157">
        <f>M157*(1+Vaccination!F157)</f>
        <v>0.95000000000000007</v>
      </c>
    </row>
    <row r="158" spans="10:14" x14ac:dyDescent="0.25">
      <c r="J158" s="140" t="s">
        <v>132</v>
      </c>
      <c r="K158" s="140"/>
      <c r="L158">
        <f>Vaccination!A158*(1+Vaccination!F158)</f>
        <v>0.99</v>
      </c>
      <c r="M158">
        <f>L158*(1+Vaccination!F158)</f>
        <v>0.99</v>
      </c>
      <c r="N158">
        <f>M158*(1+Vaccination!F158)</f>
        <v>0.99</v>
      </c>
    </row>
    <row r="159" spans="10:14" x14ac:dyDescent="0.25">
      <c r="J159" s="140" t="s">
        <v>131</v>
      </c>
      <c r="K159" s="140"/>
      <c r="L159">
        <f>Vaccination!A159*(1+Vaccination!F159)</f>
        <v>0.94505208333333346</v>
      </c>
      <c r="M159">
        <f>L159*(1+Vaccination!F159)</f>
        <v>0.94012993706597237</v>
      </c>
      <c r="N159">
        <f>M159*(1+Vaccination!F159)</f>
        <v>0.93523342697708711</v>
      </c>
    </row>
    <row r="160" spans="10:14" x14ac:dyDescent="0.25">
      <c r="J160" s="140" t="s">
        <v>74</v>
      </c>
      <c r="K160" s="140"/>
      <c r="L160">
        <f>Vaccination!A160*(1+Vaccination!F160)</f>
        <v>0.53076923076923077</v>
      </c>
      <c r="M160">
        <f>L160*(1+Vaccination!F160)</f>
        <v>0.4695266272189349</v>
      </c>
      <c r="N160">
        <f>M160*(1+Vaccination!F160)</f>
        <v>0.41535047792444241</v>
      </c>
    </row>
    <row r="161" spans="10:14" x14ac:dyDescent="0.25">
      <c r="J161" s="140" t="s">
        <v>130</v>
      </c>
      <c r="K161" s="140"/>
      <c r="L161">
        <f>Vaccination!A161*(1+Vaccination!F161)</f>
        <v>0.20470588235294115</v>
      </c>
      <c r="M161">
        <f>L161*(1+Vaccination!F161)</f>
        <v>0.17460207612456743</v>
      </c>
      <c r="N161">
        <f>M161*(1+Vaccination!F161)</f>
        <v>0.14892530022389575</v>
      </c>
    </row>
    <row r="162" spans="10:14" x14ac:dyDescent="0.25">
      <c r="J162" s="140" t="s">
        <v>129</v>
      </c>
      <c r="K162" s="140"/>
      <c r="L162">
        <f>Vaccination!A162*(1+Vaccination!F162)</f>
        <v>0.62</v>
      </c>
      <c r="M162">
        <f>L162*(1+Vaccination!F162)</f>
        <v>0.62</v>
      </c>
      <c r="N162">
        <f>M162*(1+Vaccination!F162)</f>
        <v>0.62</v>
      </c>
    </row>
    <row r="163" spans="10:14" x14ac:dyDescent="0.25">
      <c r="J163" s="140" t="s">
        <v>128</v>
      </c>
      <c r="K163" s="140"/>
      <c r="L163">
        <f>Vaccination!A163*(1+Vaccination!F163)</f>
        <v>0.98505154639175252</v>
      </c>
      <c r="M163">
        <f>L163*(1+Vaccination!F163)</f>
        <v>0.99012913168243166</v>
      </c>
      <c r="N163">
        <f>M163*(1+Vaccination!F163)</f>
        <v>0.99523289009316585</v>
      </c>
    </row>
    <row r="164" spans="10:14" x14ac:dyDescent="0.25">
      <c r="J164" s="140" t="s">
        <v>22</v>
      </c>
      <c r="K164" s="140"/>
      <c r="L164">
        <f>Vaccination!A164*(1+Vaccination!F164)</f>
        <v>0.9550515463917526</v>
      </c>
      <c r="M164">
        <f>L164*(1+Vaccination!F164)</f>
        <v>0.95012860027633117</v>
      </c>
      <c r="N164">
        <f>M164*(1+Vaccination!F164)</f>
        <v>0.94523103017181398</v>
      </c>
    </row>
    <row r="165" spans="10:14" x14ac:dyDescent="0.25">
      <c r="J165" s="140" t="s">
        <v>21</v>
      </c>
      <c r="K165" s="140"/>
      <c r="L165">
        <f>Vaccination!A165*(1+Vaccination!F165)</f>
        <v>0.83556962025316472</v>
      </c>
      <c r="M165">
        <f>L165*(1+Vaccination!F165)</f>
        <v>0.85143486620733877</v>
      </c>
      <c r="N165">
        <f>M165*(1+Vaccination!F165)</f>
        <v>0.86760135100874403</v>
      </c>
    </row>
    <row r="166" spans="10:14" x14ac:dyDescent="0.25">
      <c r="J166" s="140" t="s">
        <v>127</v>
      </c>
      <c r="K166" s="140"/>
      <c r="L166">
        <f>Vaccination!A166*(1+Vaccination!F166)</f>
        <v>0.89540902872777017</v>
      </c>
      <c r="M166">
        <f>L166*(1+Vaccination!F166)</f>
        <v>0.91108787355364629</v>
      </c>
      <c r="N166">
        <f>M166*(1+Vaccination!F166)</f>
        <v>0.92704125902763623</v>
      </c>
    </row>
    <row r="167" spans="10:14" x14ac:dyDescent="0.25">
      <c r="J167" s="140" t="s">
        <v>20</v>
      </c>
      <c r="K167" s="140"/>
      <c r="L167">
        <f>Vaccination!A167*(1+Vaccination!F167)</f>
        <v>0.95000000000000007</v>
      </c>
      <c r="M167">
        <f>L167*(1+Vaccination!F167)</f>
        <v>0.95000000000000007</v>
      </c>
      <c r="N167">
        <f>M167*(1+Vaccination!F167)</f>
        <v>0.95000000000000007</v>
      </c>
    </row>
    <row r="168" spans="10:14" x14ac:dyDescent="0.25">
      <c r="J168" s="140" t="s">
        <v>126</v>
      </c>
      <c r="K168" s="140"/>
      <c r="L168">
        <f>Vaccination!A168*(1+Vaccination!F168)</f>
        <v>0.97</v>
      </c>
      <c r="M168">
        <f>L168*(1+Vaccination!F168)</f>
        <v>0.97</v>
      </c>
      <c r="N168">
        <f>M168*(1+Vaccination!F168)</f>
        <v>0.97</v>
      </c>
    </row>
    <row r="169" spans="10:14" x14ac:dyDescent="0.25">
      <c r="J169" s="140" t="s">
        <v>125</v>
      </c>
      <c r="K169" s="140"/>
      <c r="L169">
        <f>Vaccination!A169*(1+Vaccination!F169)</f>
        <v>0.91551724137931034</v>
      </c>
      <c r="M169">
        <f>L169*(1+Vaccination!F169)</f>
        <v>0.93130202140309148</v>
      </c>
      <c r="N169">
        <f>M169*(1+Vaccination!F169)</f>
        <v>0.94735895280659299</v>
      </c>
    </row>
    <row r="170" spans="10:14" x14ac:dyDescent="0.25">
      <c r="J170" s="140" t="s">
        <v>19</v>
      </c>
      <c r="K170" s="140"/>
      <c r="L170">
        <f>Vaccination!A170*(1+Vaccination!F170)</f>
        <v>0.81</v>
      </c>
      <c r="M170">
        <f>L170*(1+Vaccination!F170)</f>
        <v>0.81</v>
      </c>
      <c r="N170">
        <f>M170*(1+Vaccination!F170)</f>
        <v>0.81</v>
      </c>
    </row>
    <row r="171" spans="10:14" x14ac:dyDescent="0.25">
      <c r="J171" s="140" t="s">
        <v>72</v>
      </c>
      <c r="K171" s="140"/>
      <c r="L171">
        <f>Vaccination!A171*(1+Vaccination!F171)</f>
        <v>0.91075854993160055</v>
      </c>
      <c r="M171">
        <f>L171*(1+Vaccination!F171)</f>
        <v>0.93200127671181099</v>
      </c>
      <c r="N171">
        <f>M171*(1+Vaccination!F171)</f>
        <v>0.95373947338477461</v>
      </c>
    </row>
    <row r="172" spans="10:14" x14ac:dyDescent="0.25">
      <c r="J172" s="140" t="s">
        <v>18</v>
      </c>
      <c r="K172" s="140"/>
      <c r="L172">
        <f>Vaccination!A172*(1+Vaccination!F172)</f>
        <v>0.99020833333333336</v>
      </c>
      <c r="M172">
        <f>L172*(1+Vaccination!F172)</f>
        <v>1.0005230034722223</v>
      </c>
      <c r="N172">
        <f>M172*(1+Vaccination!F172)</f>
        <v>1.0109451180917248</v>
      </c>
    </row>
    <row r="173" spans="10:14" x14ac:dyDescent="0.25">
      <c r="J173" s="140" t="s">
        <v>124</v>
      </c>
      <c r="K173" s="140"/>
      <c r="L173">
        <f>Vaccination!A173*(1+Vaccination!F173)</f>
        <v>0.96020408163265303</v>
      </c>
      <c r="M173">
        <f>L173*(1+Vaccination!F173)</f>
        <v>0.96040820665000681</v>
      </c>
      <c r="N173">
        <f>M173*(1+Vaccination!F173)</f>
        <v>0.96061237506128438</v>
      </c>
    </row>
    <row r="174" spans="10:14" x14ac:dyDescent="0.25">
      <c r="J174" s="140" t="s">
        <v>17</v>
      </c>
      <c r="K174" s="140"/>
      <c r="L174">
        <f>Vaccination!A174*(1+Vaccination!F174)</f>
        <v>0.74117199391172006</v>
      </c>
      <c r="M174">
        <f>L174*(1+Vaccination!F174)</f>
        <v>0.7847656065129639</v>
      </c>
      <c r="N174">
        <f>M174*(1+Vaccination!F174)</f>
        <v>0.83092327047507675</v>
      </c>
    </row>
    <row r="175" spans="10:14" x14ac:dyDescent="0.25">
      <c r="J175" s="140" t="s">
        <v>70</v>
      </c>
      <c r="K175" s="140"/>
      <c r="L175">
        <f>Vaccination!A175*(1+Vaccination!F175)</f>
        <v>0.86243181818181813</v>
      </c>
      <c r="M175">
        <f>L175*(1+Vaccination!F175)</f>
        <v>0.88546266787190075</v>
      </c>
      <c r="N175">
        <f>M175*(1+Vaccination!F175)</f>
        <v>0.90910854593438895</v>
      </c>
    </row>
    <row r="176" spans="10:14" x14ac:dyDescent="0.25">
      <c r="J176" s="140" t="s">
        <v>16</v>
      </c>
      <c r="K176" s="140"/>
      <c r="L176">
        <f>Vaccination!A176*(1+Vaccination!F176)</f>
        <v>0.99</v>
      </c>
      <c r="M176">
        <f>L176*(1+Vaccination!F176)</f>
        <v>0.99</v>
      </c>
      <c r="N176">
        <f>M176*(1+Vaccination!F176)</f>
        <v>0.99</v>
      </c>
    </row>
    <row r="177" spans="10:14" x14ac:dyDescent="0.25">
      <c r="J177" s="140" t="s">
        <v>123</v>
      </c>
      <c r="K177" s="140"/>
      <c r="L177">
        <f>Vaccination!A177*(1+Vaccination!F177)</f>
        <v>0.95549450549450554</v>
      </c>
      <c r="M177">
        <f>L177*(1+Vaccination!F177)</f>
        <v>0.97124441492573355</v>
      </c>
      <c r="N177">
        <f>M177*(1+Vaccination!F177)</f>
        <v>0.98725393824868513</v>
      </c>
    </row>
    <row r="178" spans="10:14" x14ac:dyDescent="0.25">
      <c r="J178" s="140" t="s">
        <v>15</v>
      </c>
      <c r="K178" s="140"/>
      <c r="L178">
        <f>Vaccination!A178*(1+Vaccination!F178)</f>
        <v>0.98</v>
      </c>
      <c r="M178">
        <f>L178*(1+Vaccination!F178)</f>
        <v>0.98</v>
      </c>
      <c r="N178">
        <f>M178*(1+Vaccination!F178)</f>
        <v>0.98</v>
      </c>
    </row>
    <row r="179" spans="10:14" x14ac:dyDescent="0.25">
      <c r="J179" s="140" t="s">
        <v>122</v>
      </c>
      <c r="K179" s="140"/>
      <c r="L179">
        <f>Vaccination!A179*(1+Vaccination!F179)</f>
        <v>0.97505208333333326</v>
      </c>
      <c r="M179">
        <f>L179*(1+Vaccination!F179)</f>
        <v>0.98013047960069433</v>
      </c>
      <c r="N179">
        <f>M179*(1+Vaccination!F179)</f>
        <v>0.98523532584861451</v>
      </c>
    </row>
    <row r="180" spans="10:14" x14ac:dyDescent="0.25">
      <c r="J180" s="140" t="s">
        <v>121</v>
      </c>
      <c r="K180" s="140"/>
      <c r="L180">
        <f>Vaccination!A180*(1+Vaccination!F180)</f>
        <v>0.99</v>
      </c>
      <c r="M180">
        <f>L180*(1+Vaccination!F180)</f>
        <v>0.99</v>
      </c>
      <c r="N180">
        <f>M180*(1+Vaccination!F180)</f>
        <v>0.99</v>
      </c>
    </row>
    <row r="181" spans="10:14" x14ac:dyDescent="0.25">
      <c r="J181" s="140" t="s">
        <v>12</v>
      </c>
      <c r="K181" s="140"/>
      <c r="L181">
        <f>Vaccination!A181*(1+Vaccination!F181)</f>
        <v>0.87601018675721565</v>
      </c>
      <c r="M181">
        <f>L181*(1+Vaccination!F181)</f>
        <v>0.85265983033601311</v>
      </c>
      <c r="N181">
        <f>M181*(1+Vaccination!F181)</f>
        <v>0.82993188579225174</v>
      </c>
    </row>
    <row r="182" spans="10:14" x14ac:dyDescent="0.25">
      <c r="J182" s="140" t="s">
        <v>69</v>
      </c>
      <c r="K182" s="140"/>
      <c r="L182">
        <f>Vaccination!A182*(1+Vaccination!F182)</f>
        <v>0.68</v>
      </c>
      <c r="M182">
        <f>L182*(1+Vaccination!F182)</f>
        <v>0.68</v>
      </c>
      <c r="N182">
        <f>M182*(1+Vaccination!F182)</f>
        <v>0.68</v>
      </c>
    </row>
    <row r="183" spans="10:14" x14ac:dyDescent="0.25">
      <c r="J183" s="140" t="s">
        <v>11</v>
      </c>
      <c r="K183" s="140"/>
      <c r="L183">
        <f>Vaccination!A183*(1+Vaccination!F183)</f>
        <v>0.92546391752577328</v>
      </c>
      <c r="M183">
        <f>L183*(1+Vaccination!F183)</f>
        <v>0.91115261983207585</v>
      </c>
      <c r="N183">
        <f>M183*(1+Vaccination!F183)</f>
        <v>0.89706263086560045</v>
      </c>
    </row>
    <row r="184" spans="10:14" x14ac:dyDescent="0.25">
      <c r="J184" s="140" t="s">
        <v>120</v>
      </c>
      <c r="K184" s="140"/>
      <c r="L184">
        <f>Vaccination!A184*(1+Vaccination!F184)</f>
        <v>0.92</v>
      </c>
      <c r="M184">
        <f>L184*(1+Vaccination!F184)</f>
        <v>0.92</v>
      </c>
      <c r="N184">
        <f>M184*(1+Vaccination!F184)</f>
        <v>0.92</v>
      </c>
    </row>
    <row r="185" spans="10:14" x14ac:dyDescent="0.25">
      <c r="J185" s="140" t="s">
        <v>119</v>
      </c>
      <c r="K185" s="140"/>
      <c r="L185">
        <f>Vaccination!A185*(1+Vaccination!F185)</f>
        <v>0.86</v>
      </c>
      <c r="M185">
        <f>L185*(1+Vaccination!F185)</f>
        <v>0.86</v>
      </c>
      <c r="N185">
        <f>M185*(1+Vaccination!F185)</f>
        <v>0.86</v>
      </c>
    </row>
    <row r="186" spans="10:14" x14ac:dyDescent="0.25">
      <c r="J186" s="140" t="s">
        <v>118</v>
      </c>
      <c r="K186" s="140"/>
      <c r="L186">
        <f>Vaccination!A186*(1+Vaccination!F186)</f>
        <v>0.91540025252525259</v>
      </c>
      <c r="M186">
        <f>L186*(1+Vaccination!F186)</f>
        <v>0.92083255200362224</v>
      </c>
      <c r="N186">
        <f>M186*(1+Vaccination!F186)</f>
        <v>0.92629708861273474</v>
      </c>
    </row>
    <row r="187" spans="10:14" x14ac:dyDescent="0.25">
      <c r="J187" s="140" t="s">
        <v>117</v>
      </c>
      <c r="K187" s="140"/>
      <c r="L187">
        <f>Vaccination!A187*(1+Vaccination!F187)</f>
        <v>0.92</v>
      </c>
      <c r="M187">
        <f>L187*(1+Vaccination!F187)</f>
        <v>0.92</v>
      </c>
      <c r="N187">
        <f>M187*(1+Vaccination!F187)</f>
        <v>0.92</v>
      </c>
    </row>
    <row r="188" spans="10:14" x14ac:dyDescent="0.25">
      <c r="J188" s="140" t="s">
        <v>116</v>
      </c>
      <c r="K188" s="140"/>
      <c r="L188">
        <f>Vaccination!A188*(1+Vaccination!F188)</f>
        <v>0.93015679824561415</v>
      </c>
      <c r="M188">
        <f>L188*(1+Vaccination!F188)</f>
        <v>0.92041666949205536</v>
      </c>
      <c r="N188">
        <f>M188*(1+Vaccination!F188)</f>
        <v>0.91077853441129974</v>
      </c>
    </row>
    <row r="189" spans="10:14" x14ac:dyDescent="0.25">
      <c r="J189" s="140" t="s">
        <v>9</v>
      </c>
      <c r="K189" s="140"/>
      <c r="L189">
        <f>Vaccination!A189*(1+Vaccination!F189)</f>
        <v>0.93545918367346947</v>
      </c>
      <c r="M189">
        <f>L189*(1+Vaccination!F189)</f>
        <v>0.92114093086214088</v>
      </c>
      <c r="N189">
        <f>M189*(1+Vaccination!F189)</f>
        <v>0.90704183498159796</v>
      </c>
    </row>
    <row r="190" spans="10:14" x14ac:dyDescent="0.25">
      <c r="J190" s="140" t="s">
        <v>8</v>
      </c>
      <c r="K190" s="140"/>
      <c r="L190">
        <f>Vaccination!A190*(1+Vaccination!F190)</f>
        <v>0.52</v>
      </c>
      <c r="M190">
        <f>L190*(1+Vaccination!F190)</f>
        <v>0.52</v>
      </c>
      <c r="N190">
        <f>M190*(1+Vaccination!F190)</f>
        <v>0.52</v>
      </c>
    </row>
    <row r="191" spans="10:14" x14ac:dyDescent="0.25">
      <c r="J191" s="140" t="s">
        <v>115</v>
      </c>
      <c r="K191" s="140"/>
      <c r="L191">
        <f>Vaccination!A191*(1+Vaccination!F191)</f>
        <v>1.0595727726574502</v>
      </c>
      <c r="M191">
        <f>L191*(1+Vaccination!F191)</f>
        <v>1.3526439283819236</v>
      </c>
      <c r="N191">
        <f>M191*(1+Vaccination!F191)</f>
        <v>1.7267767200167472</v>
      </c>
    </row>
    <row r="192" spans="10:14" x14ac:dyDescent="0.25">
      <c r="J192" s="140" t="s">
        <v>114</v>
      </c>
      <c r="K192" s="140"/>
      <c r="L192">
        <f>Vaccination!A192*(1+Vaccination!F192)</f>
        <v>1.0489490570979569</v>
      </c>
      <c r="M192">
        <f>L192*(1+Vaccination!F192)</f>
        <v>1.1343238395739104</v>
      </c>
      <c r="N192">
        <f>M192*(1+Vaccination!F192)</f>
        <v>1.2266473422317399</v>
      </c>
    </row>
    <row r="193" spans="10:14" x14ac:dyDescent="0.25">
      <c r="J193" s="140" t="s">
        <v>107</v>
      </c>
      <c r="K193" s="140"/>
      <c r="L193">
        <f>Vaccination!A193*(1+Vaccination!F193)</f>
        <v>0.55668714797747054</v>
      </c>
      <c r="M193">
        <f>L193*(1+Vaccination!F193)</f>
        <v>0.53431134607463826</v>
      </c>
      <c r="N193">
        <f>M193*(1+Vaccination!F193)</f>
        <v>0.51283492996257518</v>
      </c>
    </row>
    <row r="194" spans="10:14" x14ac:dyDescent="0.25">
      <c r="J194" s="140" t="s">
        <v>68</v>
      </c>
      <c r="K194" s="140"/>
      <c r="L194">
        <f>Vaccination!A194*(1+Vaccination!F194)</f>
        <v>0.85</v>
      </c>
      <c r="M194">
        <f>L194*(1+Vaccination!F194)</f>
        <v>0.85</v>
      </c>
      <c r="N194">
        <f>M194*(1+Vaccination!F194)</f>
        <v>0.85</v>
      </c>
    </row>
    <row r="195" spans="10:14" x14ac:dyDescent="0.25">
      <c r="J195" s="140" t="s">
        <v>67</v>
      </c>
      <c r="K195" s="140"/>
      <c r="L195">
        <f>Vaccination!A195*(1+Vaccination!F195)</f>
        <v>0.79807867494824003</v>
      </c>
      <c r="M195">
        <f>L195*(1+Vaccination!F195)</f>
        <v>0.83806522553570872</v>
      </c>
      <c r="N195">
        <f>M195*(1+Vaccination!F195)</f>
        <v>0.88005524304702154</v>
      </c>
    </row>
  </sheetData>
  <mergeCells count="194">
    <mergeCell ref="J182:K182"/>
    <mergeCell ref="J183:K183"/>
    <mergeCell ref="J184:K184"/>
    <mergeCell ref="J185:K185"/>
    <mergeCell ref="J186:K186"/>
    <mergeCell ref="J187:K187"/>
    <mergeCell ref="J194:K194"/>
    <mergeCell ref="J195:K195"/>
    <mergeCell ref="J188:K188"/>
    <mergeCell ref="J189:K189"/>
    <mergeCell ref="J190:K190"/>
    <mergeCell ref="J191:K191"/>
    <mergeCell ref="J192:K192"/>
    <mergeCell ref="J193:K193"/>
    <mergeCell ref="J179:K179"/>
    <mergeCell ref="J180:K180"/>
    <mergeCell ref="J181:K181"/>
    <mergeCell ref="J158:K158"/>
    <mergeCell ref="J159:K159"/>
    <mergeCell ref="J160:K160"/>
    <mergeCell ref="J161:K161"/>
    <mergeCell ref="J162:K162"/>
    <mergeCell ref="J163:K163"/>
    <mergeCell ref="J164:K164"/>
    <mergeCell ref="J165:K165"/>
    <mergeCell ref="J166:K166"/>
    <mergeCell ref="J167:K167"/>
    <mergeCell ref="J168:K168"/>
    <mergeCell ref="J169:K169"/>
    <mergeCell ref="J170:K170"/>
    <mergeCell ref="J171:K171"/>
    <mergeCell ref="J172:K172"/>
    <mergeCell ref="J173:K173"/>
    <mergeCell ref="J174:K174"/>
    <mergeCell ref="J175:K175"/>
    <mergeCell ref="J176:K176"/>
    <mergeCell ref="J177:K177"/>
    <mergeCell ref="J178:K178"/>
    <mergeCell ref="J155:K155"/>
    <mergeCell ref="J156:K156"/>
    <mergeCell ref="J157:K157"/>
    <mergeCell ref="J134:K134"/>
    <mergeCell ref="J135:K135"/>
    <mergeCell ref="J136:K136"/>
    <mergeCell ref="J137:K137"/>
    <mergeCell ref="J138:K138"/>
    <mergeCell ref="J139:K139"/>
    <mergeCell ref="J140:K140"/>
    <mergeCell ref="J141:K141"/>
    <mergeCell ref="J142:K142"/>
    <mergeCell ref="J143:K143"/>
    <mergeCell ref="J144:K144"/>
    <mergeCell ref="J145:K145"/>
    <mergeCell ref="J146:K146"/>
    <mergeCell ref="J147:K147"/>
    <mergeCell ref="J148:K148"/>
    <mergeCell ref="J149:K149"/>
    <mergeCell ref="J150:K150"/>
    <mergeCell ref="J151:K151"/>
    <mergeCell ref="J152:K152"/>
    <mergeCell ref="J153:K153"/>
    <mergeCell ref="J154:K154"/>
    <mergeCell ref="J131:K131"/>
    <mergeCell ref="J132:K132"/>
    <mergeCell ref="J133:K133"/>
    <mergeCell ref="J110:K110"/>
    <mergeCell ref="J111:K111"/>
    <mergeCell ref="J112:K112"/>
    <mergeCell ref="J113:K113"/>
    <mergeCell ref="J114:K114"/>
    <mergeCell ref="J115:K115"/>
    <mergeCell ref="J116:K116"/>
    <mergeCell ref="J117:K117"/>
    <mergeCell ref="J118:K118"/>
    <mergeCell ref="J119:K119"/>
    <mergeCell ref="J120:K120"/>
    <mergeCell ref="J121:K121"/>
    <mergeCell ref="J122:K122"/>
    <mergeCell ref="J123:K123"/>
    <mergeCell ref="J124:K124"/>
    <mergeCell ref="J125:K125"/>
    <mergeCell ref="J126:K126"/>
    <mergeCell ref="J127:K127"/>
    <mergeCell ref="J128:K128"/>
    <mergeCell ref="J129:K129"/>
    <mergeCell ref="J130:K130"/>
    <mergeCell ref="J107:K107"/>
    <mergeCell ref="J108:K108"/>
    <mergeCell ref="J109:K109"/>
    <mergeCell ref="J86:K86"/>
    <mergeCell ref="J87:K87"/>
    <mergeCell ref="J88:K88"/>
    <mergeCell ref="J89:K89"/>
    <mergeCell ref="J90:K90"/>
    <mergeCell ref="J91:K91"/>
    <mergeCell ref="J92:K92"/>
    <mergeCell ref="J93:K93"/>
    <mergeCell ref="J94:K94"/>
    <mergeCell ref="J95:K95"/>
    <mergeCell ref="J96:K96"/>
    <mergeCell ref="J97:K97"/>
    <mergeCell ref="J98:K98"/>
    <mergeCell ref="J99:K99"/>
    <mergeCell ref="J100:K100"/>
    <mergeCell ref="J101:K101"/>
    <mergeCell ref="J102:K102"/>
    <mergeCell ref="J103:K103"/>
    <mergeCell ref="J104:K104"/>
    <mergeCell ref="J105:K105"/>
    <mergeCell ref="J106:K106"/>
    <mergeCell ref="J83:K83"/>
    <mergeCell ref="J84:K84"/>
    <mergeCell ref="J85:K85"/>
    <mergeCell ref="J62:K62"/>
    <mergeCell ref="J63:K63"/>
    <mergeCell ref="J64:K64"/>
    <mergeCell ref="J65:K65"/>
    <mergeCell ref="J66:K66"/>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59:K59"/>
    <mergeCell ref="J60:K60"/>
    <mergeCell ref="J61:K61"/>
    <mergeCell ref="J38:K38"/>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J35:K35"/>
    <mergeCell ref="J36:K36"/>
    <mergeCell ref="J37:K37"/>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11:K11"/>
    <mergeCell ref="J12:K12"/>
    <mergeCell ref="J13:K13"/>
    <mergeCell ref="J2:K2"/>
    <mergeCell ref="J3:K3"/>
    <mergeCell ref="J4:K4"/>
    <mergeCell ref="J5:K5"/>
    <mergeCell ref="J6:K6"/>
    <mergeCell ref="J7:K7"/>
    <mergeCell ref="J8:K8"/>
    <mergeCell ref="J9:K9"/>
    <mergeCell ref="J10:K1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M98"/>
  <sheetViews>
    <sheetView workbookViewId="0">
      <selection activeCell="K97" sqref="K97"/>
    </sheetView>
  </sheetViews>
  <sheetFormatPr defaultColWidth="8.85546875" defaultRowHeight="15" x14ac:dyDescent="0.25"/>
  <cols>
    <col min="1" max="1" width="26.140625" bestFit="1" customWidth="1"/>
    <col min="13" max="13" width="13.42578125" bestFit="1" customWidth="1"/>
  </cols>
  <sheetData>
    <row r="2" spans="1:13" ht="15.75" thickBot="1" x14ac:dyDescent="0.3">
      <c r="A2" s="10" t="s">
        <v>309</v>
      </c>
      <c r="B2" s="10">
        <v>2010</v>
      </c>
      <c r="C2" s="10">
        <v>2011</v>
      </c>
      <c r="D2" s="10">
        <v>2012</v>
      </c>
      <c r="E2" s="10">
        <v>2013</v>
      </c>
      <c r="F2" s="10">
        <v>2014</v>
      </c>
      <c r="G2" s="10">
        <v>2015</v>
      </c>
      <c r="H2" s="10">
        <v>2016</v>
      </c>
      <c r="I2" s="10">
        <v>2017</v>
      </c>
      <c r="J2" s="10">
        <v>2018</v>
      </c>
      <c r="K2" s="10">
        <v>2019</v>
      </c>
      <c r="L2" s="10">
        <v>2020</v>
      </c>
      <c r="M2" s="10" t="s">
        <v>308</v>
      </c>
    </row>
    <row r="3" spans="1:13" ht="15.75" thickTop="1" x14ac:dyDescent="0.25">
      <c r="A3" t="s">
        <v>106</v>
      </c>
      <c r="B3" s="7">
        <v>579.40587174340681</v>
      </c>
      <c r="C3" s="7">
        <v>618.1743252940413</v>
      </c>
      <c r="D3" s="7">
        <v>642.3537047056891</v>
      </c>
      <c r="E3" s="7">
        <v>664.56384869854594</v>
      </c>
      <c r="F3" s="7">
        <v>690.4970252770263</v>
      </c>
      <c r="G3" s="7">
        <v>714.27372390050539</v>
      </c>
      <c r="H3" s="7">
        <v>744.28227619634822</v>
      </c>
      <c r="I3" s="7">
        <v>775.55156815089606</v>
      </c>
      <c r="J3" s="7">
        <v>808.1345668140541</v>
      </c>
      <c r="K3" s="7">
        <v>842.08646452336393</v>
      </c>
      <c r="L3" s="7">
        <v>877.46477239429805</v>
      </c>
      <c r="M3" t="s">
        <v>65</v>
      </c>
    </row>
    <row r="4" spans="1:13" x14ac:dyDescent="0.25">
      <c r="A4" t="s">
        <v>307</v>
      </c>
      <c r="B4" s="7">
        <v>4468.7460709381148</v>
      </c>
      <c r="C4" s="7">
        <v>4979.2132117707879</v>
      </c>
      <c r="D4" s="7">
        <v>5311.0279432959278</v>
      </c>
      <c r="E4" s="7">
        <v>5748.2847361065606</v>
      </c>
      <c r="F4" s="7">
        <v>5964.6587680363873</v>
      </c>
      <c r="G4" s="7">
        <v>6276.0954670628253</v>
      </c>
      <c r="H4" s="7">
        <v>6406.6846944077788</v>
      </c>
      <c r="I4" s="7">
        <v>6539.9911440110682</v>
      </c>
      <c r="J4" s="7">
        <v>6676.0713542024741</v>
      </c>
      <c r="K4" s="7">
        <v>6814.9830397274045</v>
      </c>
      <c r="L4" s="7">
        <v>6956.7851162250481</v>
      </c>
      <c r="M4" t="s">
        <v>10</v>
      </c>
    </row>
    <row r="5" spans="1:13" x14ac:dyDescent="0.25">
      <c r="A5" t="s">
        <v>306</v>
      </c>
      <c r="B5" s="7">
        <v>2655.8021204014349</v>
      </c>
      <c r="C5" s="7">
        <v>2621.0163343485274</v>
      </c>
      <c r="D5" s="7">
        <v>2658.5079296509703</v>
      </c>
      <c r="E5" s="7">
        <v>2738.6543650033027</v>
      </c>
      <c r="F5" s="7">
        <v>2862.7483998520242</v>
      </c>
      <c r="G5" s="7">
        <v>2993.7729287123648</v>
      </c>
      <c r="H5" s="7">
        <v>3124.3372882346193</v>
      </c>
      <c r="I5" s="7">
        <v>3260.595817750183</v>
      </c>
      <c r="J5" s="7">
        <v>3402.7968512763282</v>
      </c>
      <c r="K5" s="7">
        <v>3551.19955316806</v>
      </c>
      <c r="L5" s="7">
        <v>3706.0743904505671</v>
      </c>
      <c r="M5" t="s">
        <v>10</v>
      </c>
    </row>
    <row r="6" spans="1:13" x14ac:dyDescent="0.25">
      <c r="A6" t="s">
        <v>305</v>
      </c>
      <c r="B6" s="7">
        <v>5760.6237193566494</v>
      </c>
      <c r="C6" s="7">
        <v>5859.3662954899128</v>
      </c>
      <c r="D6" s="7">
        <v>5958.0533500744586</v>
      </c>
      <c r="E6" s="7">
        <v>6041.1594768136074</v>
      </c>
      <c r="F6" s="7">
        <v>6409.6715863745194</v>
      </c>
      <c r="G6" s="7">
        <v>6390.8997408219529</v>
      </c>
      <c r="H6" s="7">
        <v>6389.8904497897665</v>
      </c>
      <c r="I6" s="7">
        <v>6388.8813181511578</v>
      </c>
      <c r="J6" s="7">
        <v>6387.8723458809573</v>
      </c>
      <c r="K6" s="7">
        <v>6386.8635329539948</v>
      </c>
      <c r="L6" s="7">
        <v>6385.8548793451073</v>
      </c>
      <c r="M6" t="s">
        <v>10</v>
      </c>
    </row>
    <row r="7" spans="1:13" x14ac:dyDescent="0.25">
      <c r="A7" t="s">
        <v>304</v>
      </c>
      <c r="B7" s="7">
        <v>632.39753436476292</v>
      </c>
      <c r="C7" s="7">
        <v>665.72509501523086</v>
      </c>
      <c r="D7" s="7">
        <v>689.80338462640714</v>
      </c>
      <c r="E7" s="7">
        <v>717.26757177496779</v>
      </c>
      <c r="F7" s="7">
        <v>747.57317618520403</v>
      </c>
      <c r="G7" s="7">
        <v>780.49422228082108</v>
      </c>
      <c r="H7" s="7">
        <v>819.70492864194512</v>
      </c>
      <c r="I7" s="7">
        <v>860.88551440697495</v>
      </c>
      <c r="J7" s="7">
        <v>904.13494297713544</v>
      </c>
      <c r="K7" s="7">
        <v>949.55714950713173</v>
      </c>
      <c r="L7" s="7">
        <v>997.26129067761406</v>
      </c>
      <c r="M7" t="s">
        <v>65</v>
      </c>
    </row>
    <row r="8" spans="1:13" x14ac:dyDescent="0.25">
      <c r="A8" t="s">
        <v>303</v>
      </c>
      <c r="B8" s="7">
        <v>801.6611113508626</v>
      </c>
      <c r="C8" s="7">
        <v>815.08248396546992</v>
      </c>
      <c r="D8" s="7">
        <v>832.94057819317106</v>
      </c>
      <c r="E8" s="7">
        <v>853.89669653194028</v>
      </c>
      <c r="F8" s="7">
        <v>873.3261971074952</v>
      </c>
      <c r="G8" s="7">
        <v>893.65450824206926</v>
      </c>
      <c r="H8" s="7">
        <v>923.10871030257874</v>
      </c>
      <c r="I8" s="7">
        <v>953.53370142196923</v>
      </c>
      <c r="J8" s="7">
        <v>984.96147810094078</v>
      </c>
      <c r="K8" s="7">
        <v>1017.425091421565</v>
      </c>
      <c r="L8" s="7">
        <v>1050.9586818055184</v>
      </c>
      <c r="M8" t="s">
        <v>65</v>
      </c>
    </row>
    <row r="9" spans="1:13" x14ac:dyDescent="0.25">
      <c r="A9" t="s">
        <v>302</v>
      </c>
      <c r="B9" s="7">
        <v>1957.8218966884754</v>
      </c>
      <c r="C9" s="7">
        <v>2037.9851132658719</v>
      </c>
      <c r="D9" s="7">
        <v>2120.2311282851624</v>
      </c>
      <c r="E9" s="7">
        <v>2213.8673001695702</v>
      </c>
      <c r="F9" s="7">
        <v>2353.0672736324318</v>
      </c>
      <c r="G9" s="7">
        <v>2425.3107183706102</v>
      </c>
      <c r="H9" s="7">
        <v>2510.5048797846716</v>
      </c>
      <c r="I9" s="7">
        <v>2598.6916660546199</v>
      </c>
      <c r="J9" s="7">
        <v>2689.9761994491578</v>
      </c>
      <c r="K9" s="7">
        <v>2784.467294878702</v>
      </c>
      <c r="L9" s="7">
        <v>2882.277589607223</v>
      </c>
      <c r="M9" t="s">
        <v>10</v>
      </c>
    </row>
    <row r="10" spans="1:13" x14ac:dyDescent="0.25">
      <c r="A10" t="s">
        <v>301</v>
      </c>
      <c r="B10" s="7">
        <v>1891.4504426338283</v>
      </c>
      <c r="C10" s="7">
        <v>1972.7402426349906</v>
      </c>
      <c r="D10" s="7">
        <v>2038.3184176548043</v>
      </c>
      <c r="E10" s="7">
        <v>2103.6467940938946</v>
      </c>
      <c r="F10" s="7">
        <v>2171.5592971861915</v>
      </c>
      <c r="G10" s="7">
        <v>2242.5837510313418</v>
      </c>
      <c r="H10" s="7">
        <v>2302.7607986152011</v>
      </c>
      <c r="I10" s="7">
        <v>2364.5526251584843</v>
      </c>
      <c r="J10" s="7">
        <v>2428.0025613195148</v>
      </c>
      <c r="K10" s="7">
        <v>2493.155100482908</v>
      </c>
      <c r="L10" s="7">
        <v>2560.0559299599367</v>
      </c>
      <c r="M10" t="s">
        <v>10</v>
      </c>
    </row>
    <row r="11" spans="1:13" x14ac:dyDescent="0.25">
      <c r="A11" t="s">
        <v>300</v>
      </c>
      <c r="B11" s="7">
        <v>4563.4128954291373</v>
      </c>
      <c r="C11" s="7">
        <v>4753.124258591748</v>
      </c>
      <c r="D11" s="7">
        <v>5046.3624296599928</v>
      </c>
      <c r="E11" s="7">
        <v>5323.3403009400818</v>
      </c>
      <c r="F11" s="7">
        <v>5597.0068820605438</v>
      </c>
      <c r="G11" s="7">
        <v>5888.4306175471738</v>
      </c>
      <c r="H11" s="7">
        <v>6173.4102549195859</v>
      </c>
      <c r="I11" s="7">
        <v>6472.1819192329094</v>
      </c>
      <c r="J11" s="7">
        <v>6785.4130967991268</v>
      </c>
      <c r="K11" s="7">
        <v>7113.8035779547508</v>
      </c>
      <c r="L11" s="7">
        <v>7458.0870204636776</v>
      </c>
    </row>
    <row r="12" spans="1:13" x14ac:dyDescent="0.25">
      <c r="A12" t="s">
        <v>299</v>
      </c>
      <c r="B12" s="7">
        <v>529.80839688956382</v>
      </c>
      <c r="C12" s="7">
        <v>543.01560883522905</v>
      </c>
      <c r="D12" s="7">
        <v>558.93994498746349</v>
      </c>
      <c r="E12" s="7">
        <v>575.67775180428521</v>
      </c>
      <c r="F12" s="7">
        <v>594.92310670965935</v>
      </c>
      <c r="G12" s="7">
        <v>615.00941176112747</v>
      </c>
      <c r="H12" s="7">
        <v>637.72082425734266</v>
      </c>
      <c r="I12" s="7">
        <v>661.2709365323077</v>
      </c>
      <c r="J12" s="7">
        <v>685.69072056185189</v>
      </c>
      <c r="K12" s="7">
        <v>711.01229207229869</v>
      </c>
      <c r="L12" s="7">
        <v>737.26895277752601</v>
      </c>
      <c r="M12" t="s">
        <v>65</v>
      </c>
    </row>
    <row r="13" spans="1:13" x14ac:dyDescent="0.25">
      <c r="A13" t="s">
        <v>298</v>
      </c>
      <c r="B13" s="7">
        <v>166.68898546249173</v>
      </c>
      <c r="C13" s="7">
        <v>174.47306478836819</v>
      </c>
      <c r="D13" s="7">
        <v>180.48340219250969</v>
      </c>
      <c r="E13" s="7">
        <v>183.29401640802473</v>
      </c>
      <c r="F13" s="7">
        <v>187.08722419966745</v>
      </c>
      <c r="G13" s="7">
        <v>198.29810441087787</v>
      </c>
      <c r="H13" s="7">
        <v>204.5249165136936</v>
      </c>
      <c r="I13" s="7">
        <v>210.94725841786047</v>
      </c>
      <c r="J13" s="7">
        <v>217.57127000725248</v>
      </c>
      <c r="K13" s="7">
        <v>224.40328396588833</v>
      </c>
      <c r="L13" s="7">
        <v>231.44983183210041</v>
      </c>
      <c r="M13" t="s">
        <v>65</v>
      </c>
    </row>
    <row r="14" spans="1:13" x14ac:dyDescent="0.25">
      <c r="A14" t="s">
        <v>297</v>
      </c>
      <c r="B14" s="7">
        <v>755.63869027762269</v>
      </c>
      <c r="C14" s="7">
        <v>839.5005694953054</v>
      </c>
      <c r="D14" s="7">
        <v>902.39981907563924</v>
      </c>
      <c r="E14" s="7">
        <v>959.63537305773093</v>
      </c>
      <c r="F14" s="7">
        <v>1014.7327774661331</v>
      </c>
      <c r="G14" s="7">
        <v>1082.8980142313344</v>
      </c>
      <c r="H14" s="7">
        <v>1139.0231393679283</v>
      </c>
      <c r="I14" s="7">
        <v>1198.0571530888587</v>
      </c>
      <c r="J14" s="7">
        <v>1260.1508191167097</v>
      </c>
      <c r="K14" s="7">
        <v>1325.4627150519052</v>
      </c>
      <c r="L14" s="7">
        <v>1394.1596373553248</v>
      </c>
      <c r="M14" t="s">
        <v>65</v>
      </c>
    </row>
    <row r="15" spans="1:13" x14ac:dyDescent="0.25">
      <c r="A15" t="s">
        <v>296</v>
      </c>
      <c r="B15" s="7">
        <v>1151.3907691615073</v>
      </c>
      <c r="C15" s="7">
        <v>1165.7239934409561</v>
      </c>
      <c r="D15" s="7">
        <v>1200.5374934916517</v>
      </c>
      <c r="E15" s="7">
        <v>1232.1579840875117</v>
      </c>
      <c r="F15" s="7">
        <v>1264.1023830918025</v>
      </c>
      <c r="G15" s="7">
        <v>1281.9549258481898</v>
      </c>
      <c r="H15" s="7">
        <v>1303.854880204243</v>
      </c>
      <c r="I15" s="7">
        <v>1326.1289569191463</v>
      </c>
      <c r="J15" s="7">
        <v>1348.7835472180634</v>
      </c>
      <c r="K15" s="7">
        <v>1371.8251515090471</v>
      </c>
      <c r="L15" s="7">
        <v>1395.2603812482337</v>
      </c>
      <c r="M15" t="s">
        <v>65</v>
      </c>
    </row>
    <row r="16" spans="1:13" x14ac:dyDescent="0.25">
      <c r="A16" t="s">
        <v>295</v>
      </c>
      <c r="B16" s="7">
        <v>3594.802149502666</v>
      </c>
      <c r="C16" s="7">
        <v>3692.5301439204627</v>
      </c>
      <c r="D16" s="7">
        <v>3939.6445398832225</v>
      </c>
      <c r="E16" s="7">
        <v>4234.645161836459</v>
      </c>
      <c r="F16" s="7">
        <v>4492.6206508963141</v>
      </c>
      <c r="G16" s="7">
        <v>4811.4404101322443</v>
      </c>
      <c r="H16" s="7">
        <v>5050.1381054257718</v>
      </c>
      <c r="I16" s="7">
        <v>5300.6776993778512</v>
      </c>
      <c r="J16" s="7">
        <v>5563.646673839392</v>
      </c>
      <c r="K16" s="7">
        <v>5839.6616558968044</v>
      </c>
      <c r="L16" s="7">
        <v>6129.3698637800735</v>
      </c>
    </row>
    <row r="17" spans="1:13" x14ac:dyDescent="0.25">
      <c r="A17" t="s">
        <v>294</v>
      </c>
      <c r="B17" s="7">
        <v>467.19600965813788</v>
      </c>
      <c r="C17" s="7">
        <v>476.63143975841729</v>
      </c>
      <c r="D17" s="7">
        <v>491.63435156932786</v>
      </c>
      <c r="E17" s="7">
        <v>508.64140978387405</v>
      </c>
      <c r="F17" s="7">
        <v>525.98312798963411</v>
      </c>
      <c r="G17" s="7">
        <v>534.96248192139103</v>
      </c>
      <c r="H17" s="7">
        <v>555.76337243653188</v>
      </c>
      <c r="I17" s="7">
        <v>577.37306181298516</v>
      </c>
      <c r="J17" s="7">
        <v>599.82299849270976</v>
      </c>
      <c r="K17" s="7">
        <v>623.14585372416093</v>
      </c>
      <c r="L17" s="7">
        <v>647.37556910854732</v>
      </c>
      <c r="M17" t="s">
        <v>65</v>
      </c>
    </row>
    <row r="18" spans="1:13" x14ac:dyDescent="0.25">
      <c r="A18" t="s">
        <v>293</v>
      </c>
      <c r="B18" s="7">
        <v>688.72961152991013</v>
      </c>
      <c r="C18" s="7">
        <v>702.29680289834425</v>
      </c>
      <c r="D18" s="7">
        <v>722.5217194664823</v>
      </c>
      <c r="E18" s="7">
        <v>716.26203992045384</v>
      </c>
      <c r="F18" s="7">
        <v>706.85218044353212</v>
      </c>
      <c r="G18" s="7">
        <v>699.08327244172926</v>
      </c>
      <c r="H18" s="7">
        <v>699.95760382972492</v>
      </c>
      <c r="I18" s="7">
        <v>700.8330287289034</v>
      </c>
      <c r="J18" s="7">
        <v>701.70954850690009</v>
      </c>
      <c r="K18" s="7">
        <v>702.58716453306101</v>
      </c>
      <c r="L18" s="7">
        <v>703.46587817844488</v>
      </c>
      <c r="M18" t="s">
        <v>65</v>
      </c>
    </row>
    <row r="19" spans="1:13" x14ac:dyDescent="0.25">
      <c r="A19" t="s">
        <v>292</v>
      </c>
      <c r="B19" s="7">
        <v>811.35361338128382</v>
      </c>
      <c r="C19" s="7">
        <v>816.41238217725902</v>
      </c>
      <c r="D19" s="7">
        <v>837.46938983012615</v>
      </c>
      <c r="E19" s="7">
        <v>863.83874603613242</v>
      </c>
      <c r="F19" s="7">
        <v>894.11716134611891</v>
      </c>
      <c r="G19" s="7">
        <v>924.60643299326841</v>
      </c>
      <c r="H19" s="7">
        <v>945.60347107001792</v>
      </c>
      <c r="I19" s="7">
        <v>967.07733430422309</v>
      </c>
      <c r="J19" s="7">
        <v>989.03885099604474</v>
      </c>
      <c r="K19" s="7">
        <v>1011.4990953472756</v>
      </c>
      <c r="L19" s="7">
        <v>1034.4693930455603</v>
      </c>
      <c r="M19" t="s">
        <v>65</v>
      </c>
    </row>
    <row r="20" spans="1:13" x14ac:dyDescent="0.25">
      <c r="A20" t="s">
        <v>291</v>
      </c>
      <c r="B20" s="7">
        <v>185.23960748066366</v>
      </c>
      <c r="C20" s="7">
        <v>192.57105640586249</v>
      </c>
      <c r="D20" s="7">
        <v>197.66117432657578</v>
      </c>
      <c r="E20" s="7">
        <v>206.36781848378033</v>
      </c>
      <c r="F20" s="7">
        <v>213.74245111322051</v>
      </c>
      <c r="G20" s="7">
        <v>218.81122130060751</v>
      </c>
      <c r="H20" s="7">
        <v>228.62114338074946</v>
      </c>
      <c r="I20" s="7">
        <v>238.87087184123351</v>
      </c>
      <c r="J20" s="7">
        <v>249.58012443828747</v>
      </c>
      <c r="K20" s="7">
        <v>260.76950293057297</v>
      </c>
      <c r="L20" s="7">
        <v>272.46053271149935</v>
      </c>
      <c r="M20" t="s">
        <v>65</v>
      </c>
    </row>
    <row r="21" spans="1:13" x14ac:dyDescent="0.25">
      <c r="A21" t="s">
        <v>290</v>
      </c>
      <c r="B21" s="7">
        <v>3358.2853435746474</v>
      </c>
      <c r="C21" s="7">
        <v>3649.239218443623</v>
      </c>
      <c r="D21" s="7">
        <v>3558.9494808842492</v>
      </c>
      <c r="E21" s="7">
        <v>3288.2414203335074</v>
      </c>
      <c r="F21" s="7">
        <v>3123.7675185875896</v>
      </c>
      <c r="G21" s="7">
        <v>2914.3777136080557</v>
      </c>
      <c r="H21" s="7">
        <v>2914.891336881371</v>
      </c>
      <c r="I21" s="7">
        <v>2915.4050506744793</v>
      </c>
      <c r="J21" s="7">
        <v>2915.9188550033336</v>
      </c>
      <c r="K21" s="7">
        <v>2916.4327498838888</v>
      </c>
      <c r="L21" s="7">
        <v>2916.9467353321047</v>
      </c>
      <c r="M21" t="s">
        <v>65</v>
      </c>
    </row>
    <row r="22" spans="1:13" x14ac:dyDescent="0.25">
      <c r="A22" s="1" t="s">
        <v>289</v>
      </c>
      <c r="B22" s="7">
        <v>1088.3519680316942</v>
      </c>
      <c r="C22" s="7">
        <v>1107.5273455404952</v>
      </c>
      <c r="D22" s="7">
        <v>1132.1220496376534</v>
      </c>
      <c r="E22" s="7">
        <v>1161.2898443460472</v>
      </c>
      <c r="F22" s="7">
        <v>1198.5978641498739</v>
      </c>
      <c r="G22" s="7">
        <v>1249.2530267229404</v>
      </c>
      <c r="H22" s="7">
        <v>1296.7509191847896</v>
      </c>
      <c r="I22" s="7">
        <v>1346.0547306558854</v>
      </c>
      <c r="J22" s="7">
        <v>1397.2331240452304</v>
      </c>
      <c r="K22" s="7">
        <v>1450.3573728966624</v>
      </c>
      <c r="L22" s="8">
        <v>1505.5014606478896</v>
      </c>
      <c r="M22" t="s">
        <v>65</v>
      </c>
    </row>
    <row r="23" spans="1:13" x14ac:dyDescent="0.25">
      <c r="A23" t="s">
        <v>288</v>
      </c>
      <c r="B23" s="7">
        <v>1275.6103727020961</v>
      </c>
      <c r="C23" s="7">
        <v>1356.5154561593426</v>
      </c>
      <c r="D23" s="7">
        <v>1442.5379089465844</v>
      </c>
      <c r="E23" s="7">
        <v>1529.9295566501842</v>
      </c>
      <c r="F23" s="7">
        <v>1628.0628874352162</v>
      </c>
      <c r="G23" s="7">
        <v>1732.5294098746197</v>
      </c>
      <c r="H23" s="7">
        <v>1825.2958729939144</v>
      </c>
      <c r="I23" s="7">
        <v>1923.0294187096808</v>
      </c>
      <c r="J23" s="7">
        <v>2025.9960042298426</v>
      </c>
      <c r="K23" s="7">
        <v>2134.4758271610026</v>
      </c>
      <c r="L23" s="7">
        <v>2248.7640879955975</v>
      </c>
      <c r="M23" t="s">
        <v>65</v>
      </c>
    </row>
    <row r="24" spans="1:13" x14ac:dyDescent="0.25">
      <c r="A24" t="s">
        <v>196</v>
      </c>
      <c r="B24" s="7">
        <v>5558.7312339016062</v>
      </c>
      <c r="C24" s="7">
        <v>5639.9381847562336</v>
      </c>
      <c r="D24" s="7">
        <v>5784.9908283227041</v>
      </c>
      <c r="E24" s="7">
        <v>5945.2173748987843</v>
      </c>
      <c r="F24" s="7">
        <v>6096.4094852909229</v>
      </c>
      <c r="G24" s="7">
        <v>6255.8135251203748</v>
      </c>
      <c r="H24" s="7">
        <v>6433.9489160397379</v>
      </c>
      <c r="I24" s="7">
        <v>6617.1567435607622</v>
      </c>
      <c r="J24" s="7">
        <v>6805.5814462082444</v>
      </c>
      <c r="K24" s="7">
        <v>6999.3715754193845</v>
      </c>
      <c r="L24" s="7">
        <v>7198.679912659697</v>
      </c>
    </row>
    <row r="25" spans="1:13" x14ac:dyDescent="0.25">
      <c r="A25" t="s">
        <v>51</v>
      </c>
      <c r="B25" s="7">
        <v>4295.6350000000002</v>
      </c>
      <c r="C25" s="7">
        <v>4466.567</v>
      </c>
      <c r="D25" s="7">
        <v>4606.9430000000002</v>
      </c>
      <c r="E25" s="7">
        <v>4744.6930000000002</v>
      </c>
      <c r="F25" s="7">
        <v>4883.2309999999998</v>
      </c>
      <c r="G25" s="7">
        <v>5054.7299999999996</v>
      </c>
      <c r="H25" s="7">
        <v>5226.2290000000003</v>
      </c>
      <c r="I25" s="7">
        <v>5397.7280000000001</v>
      </c>
      <c r="J25" s="7">
        <v>5569.2269999999999</v>
      </c>
      <c r="K25" s="7">
        <v>5740.7259999999997</v>
      </c>
      <c r="L25" s="7">
        <v>5912.2250000000004</v>
      </c>
    </row>
    <row r="26" spans="1:13" x14ac:dyDescent="0.25">
      <c r="A26" t="s">
        <v>194</v>
      </c>
      <c r="B26" s="7">
        <v>2771.4140000000002</v>
      </c>
      <c r="C26" s="7">
        <v>2997.9009999999998</v>
      </c>
      <c r="D26" s="7">
        <v>3213.0810000000001</v>
      </c>
      <c r="E26" s="7">
        <v>3438.3710000000001</v>
      </c>
      <c r="F26" s="7">
        <v>3676.3270000000002</v>
      </c>
      <c r="G26" s="7">
        <v>3945.7429999999999</v>
      </c>
      <c r="H26" s="7">
        <v>4215.1589999999997</v>
      </c>
      <c r="I26" s="7">
        <v>4484.5749999999998</v>
      </c>
      <c r="J26" s="7">
        <v>4753.991</v>
      </c>
      <c r="K26" s="7">
        <v>5023.4070000000002</v>
      </c>
      <c r="L26" s="7">
        <v>5292.8230000000003</v>
      </c>
    </row>
    <row r="27" spans="1:13" x14ac:dyDescent="0.25">
      <c r="A27" t="s">
        <v>49</v>
      </c>
      <c r="B27" s="7">
        <v>3717.0619999999999</v>
      </c>
      <c r="C27" s="7">
        <v>3887.5650000000001</v>
      </c>
      <c r="D27" s="7">
        <v>4084.7489999999998</v>
      </c>
      <c r="E27" s="7">
        <v>4338.7700000000004</v>
      </c>
      <c r="F27" s="7">
        <v>4612.6329999999998</v>
      </c>
      <c r="G27" s="7">
        <v>4899.0690000000004</v>
      </c>
      <c r="H27" s="7">
        <v>5185.5050000000001</v>
      </c>
      <c r="I27" s="7">
        <v>5471.9409999999998</v>
      </c>
      <c r="J27" s="7">
        <v>5758.3770000000004</v>
      </c>
      <c r="K27" s="7">
        <v>6044.8130000000001</v>
      </c>
      <c r="L27" s="7">
        <v>6331.2489999999998</v>
      </c>
    </row>
    <row r="28" spans="1:13" x14ac:dyDescent="0.25">
      <c r="A28" t="s">
        <v>96</v>
      </c>
      <c r="B28" s="7">
        <v>428.99480895710514</v>
      </c>
      <c r="C28" s="7">
        <v>485.13897817566573</v>
      </c>
      <c r="D28" s="7">
        <v>537.39555080572563</v>
      </c>
      <c r="E28" s="7">
        <v>596.50459247053527</v>
      </c>
      <c r="F28" s="7">
        <v>662.57757659157085</v>
      </c>
      <c r="G28" s="7">
        <v>737.1616740196622</v>
      </c>
      <c r="H28" s="7">
        <v>748.44862171013631</v>
      </c>
      <c r="I28" s="7">
        <v>759.90838791879617</v>
      </c>
      <c r="J28" s="7">
        <v>771.54361873217022</v>
      </c>
      <c r="K28" s="7">
        <v>783.35700075196928</v>
      </c>
      <c r="L28" s="7">
        <v>795.35126171543095</v>
      </c>
      <c r="M28" t="s">
        <v>65</v>
      </c>
    </row>
    <row r="29" spans="1:13" x14ac:dyDescent="0.25">
      <c r="A29" t="s">
        <v>287</v>
      </c>
      <c r="B29" s="7">
        <v>357.85044508610633</v>
      </c>
      <c r="C29" s="7">
        <v>356.63206658307172</v>
      </c>
      <c r="D29" s="7">
        <v>364.53412609609313</v>
      </c>
      <c r="E29" s="7">
        <v>368.74364617183318</v>
      </c>
      <c r="F29" s="7">
        <v>373.10141548624154</v>
      </c>
      <c r="G29" s="7">
        <v>376.72737810480629</v>
      </c>
      <c r="H29" s="7">
        <v>396.87235427672169</v>
      </c>
      <c r="I29" s="7">
        <v>418.09455522324367</v>
      </c>
      <c r="J29" s="7">
        <v>440.4515840512272</v>
      </c>
      <c r="K29" s="7">
        <v>464.00412411409985</v>
      </c>
      <c r="L29" s="7">
        <v>488.81610372379146</v>
      </c>
      <c r="M29" t="s">
        <v>65</v>
      </c>
    </row>
    <row r="30" spans="1:13" x14ac:dyDescent="0.25">
      <c r="A30" t="s">
        <v>286</v>
      </c>
      <c r="B30" s="7">
        <v>459.44901866635473</v>
      </c>
      <c r="C30" s="7">
        <v>482.47818435943617</v>
      </c>
      <c r="D30" s="7">
        <v>492.99404894329592</v>
      </c>
      <c r="E30" s="7">
        <v>504.24564226229029</v>
      </c>
      <c r="F30" s="7">
        <v>515.43221259056713</v>
      </c>
      <c r="G30" s="7">
        <v>540.93746133113314</v>
      </c>
      <c r="H30" s="7">
        <v>556.14231098407834</v>
      </c>
      <c r="I30" s="7">
        <v>571.7745435962288</v>
      </c>
      <c r="J30" s="7">
        <v>587.84617218961296</v>
      </c>
      <c r="K30" s="7">
        <v>604.36954745226819</v>
      </c>
      <c r="L30" s="7">
        <v>621.3573672294699</v>
      </c>
      <c r="M30" t="s">
        <v>65</v>
      </c>
    </row>
    <row r="31" spans="1:13" x14ac:dyDescent="0.25">
      <c r="A31" t="s">
        <v>285</v>
      </c>
      <c r="B31" s="7">
        <v>2558.1775559190951</v>
      </c>
      <c r="C31" s="7">
        <v>2734.9115926463851</v>
      </c>
      <c r="D31" s="7">
        <v>2926.3118714638249</v>
      </c>
      <c r="E31" s="7">
        <v>3127.8704312345694</v>
      </c>
      <c r="F31" s="7">
        <v>3342.8860891642162</v>
      </c>
      <c r="G31" s="7">
        <v>3574.0053413367687</v>
      </c>
      <c r="H31" s="7">
        <v>3771.2076313118796</v>
      </c>
      <c r="I31" s="7">
        <v>3979.290918783453</v>
      </c>
      <c r="J31" s="7">
        <v>4198.8555827153068</v>
      </c>
      <c r="K31" s="7">
        <v>4430.5351290800972</v>
      </c>
      <c r="L31" s="7">
        <v>4674.9980187026904</v>
      </c>
      <c r="M31" t="s">
        <v>10</v>
      </c>
    </row>
    <row r="32" spans="1:13" x14ac:dyDescent="0.25">
      <c r="A32" t="s">
        <v>284</v>
      </c>
      <c r="B32" s="7">
        <v>730.23641891619582</v>
      </c>
      <c r="C32" s="7">
        <v>923.35712032062008</v>
      </c>
      <c r="D32" s="7">
        <v>1021.7935601928208</v>
      </c>
      <c r="E32" s="7">
        <v>1060.0611383649996</v>
      </c>
      <c r="F32" s="7">
        <v>1087.2093766612591</v>
      </c>
      <c r="G32" s="7">
        <v>1112.950852415031</v>
      </c>
      <c r="H32" s="7">
        <v>1145.3653056626829</v>
      </c>
      <c r="I32" s="7">
        <v>1178.7238228616443</v>
      </c>
      <c r="J32" s="7">
        <v>1213.0538996706371</v>
      </c>
      <c r="K32" s="7">
        <v>1248.3838325535069</v>
      </c>
      <c r="L32" s="7">
        <v>1284.7427421024975</v>
      </c>
      <c r="M32" t="s">
        <v>65</v>
      </c>
    </row>
    <row r="33" spans="1:13" x14ac:dyDescent="0.25">
      <c r="A33" t="s">
        <v>283</v>
      </c>
      <c r="B33" s="7">
        <v>6130.3769582892282</v>
      </c>
      <c r="C33" s="7">
        <v>6312.4849928214162</v>
      </c>
      <c r="D33" s="7">
        <v>6518.8338889657798</v>
      </c>
      <c r="E33" s="7">
        <v>6750.4438758392253</v>
      </c>
      <c r="F33" s="7">
        <v>7027.4268371051539</v>
      </c>
      <c r="G33" s="7">
        <v>7307.5592539062982</v>
      </c>
      <c r="H33" s="7">
        <v>7585.800428035187</v>
      </c>
      <c r="I33" s="7">
        <v>7874.6358578232721</v>
      </c>
      <c r="J33" s="7">
        <v>8174.4689280439416</v>
      </c>
      <c r="K33" s="7">
        <v>8485.718382669058</v>
      </c>
      <c r="L33" s="7">
        <v>8808.8189096827537</v>
      </c>
    </row>
    <row r="34" spans="1:13" x14ac:dyDescent="0.25">
      <c r="A34" t="s">
        <v>282</v>
      </c>
      <c r="B34" s="7">
        <v>415.49721091607597</v>
      </c>
      <c r="C34" s="7">
        <v>415.19813042738986</v>
      </c>
      <c r="D34" s="7">
        <v>423.26643273000565</v>
      </c>
      <c r="E34" s="7">
        <v>433.50673900736922</v>
      </c>
      <c r="F34" s="7">
        <v>448.33036396077318</v>
      </c>
      <c r="G34" s="7">
        <v>462.58164970706497</v>
      </c>
      <c r="H34" s="7">
        <v>468.82436264667842</v>
      </c>
      <c r="I34" s="7">
        <v>475.15132333989612</v>
      </c>
      <c r="J34" s="7">
        <v>481.56366874176587</v>
      </c>
      <c r="K34" s="7">
        <v>488.06255115097014</v>
      </c>
      <c r="L34" s="7">
        <v>494.64913841689463</v>
      </c>
      <c r="M34" t="s">
        <v>65</v>
      </c>
    </row>
    <row r="35" spans="1:13" x14ac:dyDescent="0.25">
      <c r="A35" t="s">
        <v>281</v>
      </c>
      <c r="B35" s="7">
        <v>566.39201239278009</v>
      </c>
      <c r="C35" s="7">
        <v>542.18109337519456</v>
      </c>
      <c r="D35" s="7">
        <v>569.11419723773724</v>
      </c>
      <c r="E35" s="7">
        <v>580.66648125417692</v>
      </c>
      <c r="F35" s="7">
        <v>589.7128906832487</v>
      </c>
      <c r="G35" s="7">
        <v>598.75104354451332</v>
      </c>
      <c r="H35" s="7">
        <v>613.25559029704459</v>
      </c>
      <c r="I35" s="7">
        <v>628.1115049156773</v>
      </c>
      <c r="J35" s="7">
        <v>643.32729917119889</v>
      </c>
      <c r="K35" s="7">
        <v>658.91169102923902</v>
      </c>
      <c r="L35" s="7">
        <v>674.87360964527306</v>
      </c>
      <c r="M35" t="s">
        <v>65</v>
      </c>
    </row>
    <row r="36" spans="1:13" x14ac:dyDescent="0.25">
      <c r="A36" t="s">
        <v>46</v>
      </c>
      <c r="B36" s="7">
        <v>2855.4657840283685</v>
      </c>
      <c r="C36" s="7">
        <v>3055.5056553559252</v>
      </c>
      <c r="D36" s="7">
        <v>3235.5599655485175</v>
      </c>
      <c r="E36" s="7">
        <v>3375.6597183135314</v>
      </c>
      <c r="F36" s="7">
        <v>3469.0296145722718</v>
      </c>
      <c r="G36" s="7">
        <v>3599.4045523123214</v>
      </c>
      <c r="H36" s="7">
        <v>3730.944293029394</v>
      </c>
      <c r="I36" s="7">
        <v>3867.2911353479799</v>
      </c>
      <c r="J36" s="7">
        <v>4008.6207541301492</v>
      </c>
      <c r="K36" s="7">
        <v>4155.1152442514704</v>
      </c>
      <c r="L36" s="7">
        <v>4306.963355219511</v>
      </c>
      <c r="M36" t="s">
        <v>65</v>
      </c>
    </row>
    <row r="37" spans="1:13" x14ac:dyDescent="0.25">
      <c r="A37" t="s">
        <v>90</v>
      </c>
      <c r="B37" s="7">
        <v>631.32080176760496</v>
      </c>
      <c r="C37" s="7">
        <v>674.33294688829676</v>
      </c>
      <c r="D37" s="7">
        <v>705.58683644741393</v>
      </c>
      <c r="E37" s="7">
        <v>727.18846282967422</v>
      </c>
      <c r="F37" s="7">
        <v>745.44441689721259</v>
      </c>
      <c r="G37" s="7">
        <v>772.11570789014525</v>
      </c>
      <c r="H37" s="7">
        <v>796.45328490458883</v>
      </c>
      <c r="I37" s="7">
        <v>821.55799778854168</v>
      </c>
      <c r="J37" s="7">
        <v>847.45402715135265</v>
      </c>
      <c r="K37" s="7">
        <v>874.16631579052</v>
      </c>
      <c r="L37" s="7">
        <v>901.72059271634475</v>
      </c>
      <c r="M37" t="s">
        <v>65</v>
      </c>
    </row>
    <row r="38" spans="1:13" x14ac:dyDescent="0.25">
      <c r="A38" t="s">
        <v>280</v>
      </c>
      <c r="B38" s="7">
        <v>1994.6686148583658</v>
      </c>
      <c r="C38" s="7">
        <v>2093.2872219125234</v>
      </c>
      <c r="D38" s="7">
        <v>2193.1066844454667</v>
      </c>
      <c r="E38" s="7">
        <v>2322.2783539000343</v>
      </c>
      <c r="F38" s="7">
        <v>2454.9522291271564</v>
      </c>
      <c r="G38" s="7">
        <v>2579.2726675683311</v>
      </c>
      <c r="H38" s="7">
        <v>2614.4046420639484</v>
      </c>
      <c r="I38" s="7">
        <v>2650.0151451182096</v>
      </c>
      <c r="J38" s="7">
        <v>2686.1106947132293</v>
      </c>
      <c r="K38" s="7">
        <v>2722.6978976118044</v>
      </c>
      <c r="L38" s="7">
        <v>2759.7834505666806</v>
      </c>
      <c r="M38" t="s">
        <v>10</v>
      </c>
    </row>
    <row r="39" spans="1:13" x14ac:dyDescent="0.25">
      <c r="A39" s="1" t="s">
        <v>279</v>
      </c>
      <c r="B39" s="7">
        <v>1118.9438755972378</v>
      </c>
      <c r="C39" s="7">
        <v>1191.8029390019672</v>
      </c>
      <c r="D39" s="7">
        <v>1269.8186739515395</v>
      </c>
      <c r="E39" s="7">
        <v>1354.0455438100112</v>
      </c>
      <c r="F39" s="7">
        <v>1444.007724038903</v>
      </c>
      <c r="G39" s="8">
        <v>1535.1469502909533</v>
      </c>
      <c r="H39" s="9">
        <v>1642.5512363954979</v>
      </c>
      <c r="I39" s="9">
        <v>1757.4699045410846</v>
      </c>
      <c r="J39" s="9">
        <v>1880.4286873544709</v>
      </c>
      <c r="K39" s="9">
        <v>2011.9900995681585</v>
      </c>
      <c r="L39" s="9">
        <v>2152.7560114260255</v>
      </c>
      <c r="M39" t="s">
        <v>65</v>
      </c>
    </row>
    <row r="40" spans="1:13" x14ac:dyDescent="0.25">
      <c r="A40" t="s">
        <v>43</v>
      </c>
      <c r="B40" s="7">
        <v>2963.2840000000001</v>
      </c>
      <c r="C40" s="7">
        <v>3270.0140000000001</v>
      </c>
      <c r="D40" s="7">
        <v>3531.9969999999998</v>
      </c>
      <c r="E40" s="7">
        <v>3822.4250000000002</v>
      </c>
      <c r="F40" s="7">
        <v>4130.9399999999996</v>
      </c>
      <c r="G40" s="7">
        <v>4440.5770000000002</v>
      </c>
      <c r="H40" s="7">
        <v>4750.2139999999999</v>
      </c>
      <c r="I40" s="7">
        <v>5059.8509999999997</v>
      </c>
      <c r="J40" s="7">
        <v>5369.4880000000003</v>
      </c>
      <c r="K40" s="7">
        <v>5679.125</v>
      </c>
      <c r="L40" s="7">
        <v>5988.7619999999997</v>
      </c>
      <c r="M40" t="s">
        <v>10</v>
      </c>
    </row>
    <row r="41" spans="1:13" x14ac:dyDescent="0.25">
      <c r="A41" t="s">
        <v>42</v>
      </c>
      <c r="B41" s="7">
        <v>2625.502</v>
      </c>
      <c r="C41" s="7">
        <v>2827.0050000000001</v>
      </c>
      <c r="D41" s="7">
        <v>3245.4639999999999</v>
      </c>
      <c r="E41" s="7">
        <v>3605.9029999999998</v>
      </c>
      <c r="F41" s="7">
        <v>4051.7570000000001</v>
      </c>
      <c r="G41" s="7">
        <v>4519.2169999999996</v>
      </c>
      <c r="H41" s="7">
        <v>4986.6769999999997</v>
      </c>
      <c r="I41" s="7">
        <v>5454.1369999999997</v>
      </c>
      <c r="J41" s="7">
        <v>5921.5969999999998</v>
      </c>
      <c r="K41" s="7">
        <v>6389.0569999999998</v>
      </c>
      <c r="L41" s="7">
        <v>6856.5169999999998</v>
      </c>
    </row>
    <row r="42" spans="1:13" x14ac:dyDescent="0.25">
      <c r="A42" t="s">
        <v>41</v>
      </c>
      <c r="B42" s="7">
        <v>4434.8609999999999</v>
      </c>
      <c r="C42" s="7">
        <v>4745.9690000000001</v>
      </c>
      <c r="D42" s="7">
        <v>5071.7280000000001</v>
      </c>
      <c r="E42" s="7">
        <v>5416.19</v>
      </c>
      <c r="F42" s="7">
        <v>5726.7569999999996</v>
      </c>
      <c r="G42" s="7">
        <v>6035.4930000000004</v>
      </c>
      <c r="H42" s="7">
        <v>6344.2290000000003</v>
      </c>
      <c r="I42" s="7">
        <v>6652.9650000000001</v>
      </c>
      <c r="J42" s="7">
        <v>6961.701</v>
      </c>
      <c r="K42" s="7">
        <v>7270.4369999999999</v>
      </c>
      <c r="L42" s="7">
        <v>7579.1729999999998</v>
      </c>
    </row>
    <row r="43" spans="1:13" x14ac:dyDescent="0.25">
      <c r="A43" s="1" t="s">
        <v>278</v>
      </c>
      <c r="B43" s="7">
        <v>832.68692711849985</v>
      </c>
      <c r="C43" s="7">
        <v>903.77138025675868</v>
      </c>
      <c r="D43" s="7">
        <v>989.07022154207323</v>
      </c>
      <c r="E43" s="7">
        <v>1051.2887884148513</v>
      </c>
      <c r="F43" s="7">
        <v>1137.9207906477486</v>
      </c>
      <c r="G43" s="7">
        <v>1218.4754153389474</v>
      </c>
      <c r="H43" s="7">
        <v>1270.4978842363926</v>
      </c>
      <c r="I43" s="7">
        <v>1324.7414379715917</v>
      </c>
      <c r="J43" s="7">
        <v>1381.300905143823</v>
      </c>
      <c r="K43" s="7">
        <v>1440.2751630330295</v>
      </c>
      <c r="L43" s="8">
        <v>1501.7673104571165</v>
      </c>
      <c r="M43" t="s">
        <v>65</v>
      </c>
    </row>
    <row r="44" spans="1:13" x14ac:dyDescent="0.25">
      <c r="A44" t="s">
        <v>40</v>
      </c>
      <c r="B44" s="7">
        <v>1518.0186475374221</v>
      </c>
      <c r="C44" s="7">
        <v>1484.2530949354118</v>
      </c>
      <c r="D44" s="7">
        <v>1474.5759861478746</v>
      </c>
      <c r="E44" s="7">
        <v>1444.3174911312847</v>
      </c>
      <c r="F44" s="7">
        <v>1414.2039915703238</v>
      </c>
      <c r="G44" s="7">
        <v>1393.5345553960847</v>
      </c>
      <c r="H44" s="7">
        <v>1390.7405623895318</v>
      </c>
      <c r="I44" s="7">
        <v>1387.9521712511848</v>
      </c>
      <c r="J44" s="7">
        <v>1385.1693707494749</v>
      </c>
      <c r="K44" s="7">
        <v>1382.3921496753508</v>
      </c>
      <c r="L44" s="7">
        <v>1379.6204968422358</v>
      </c>
      <c r="M44" t="s">
        <v>10</v>
      </c>
    </row>
    <row r="45" spans="1:13" x14ac:dyDescent="0.25">
      <c r="A45" t="s">
        <v>277</v>
      </c>
      <c r="B45" s="7">
        <v>917.24139102504319</v>
      </c>
      <c r="C45" s="7">
        <v>982.8570161850547</v>
      </c>
      <c r="D45" s="7">
        <v>1046.8223208735587</v>
      </c>
      <c r="E45" s="7">
        <v>1117.61355473193</v>
      </c>
      <c r="F45" s="7">
        <v>1203.4350441838289</v>
      </c>
      <c r="G45" s="7">
        <v>1245.5231612775776</v>
      </c>
      <c r="H45" s="7">
        <v>1277.4275095282774</v>
      </c>
      <c r="I45" s="7">
        <v>1310.1490946389147</v>
      </c>
      <c r="J45" s="7">
        <v>1343.708850310438</v>
      </c>
      <c r="K45" s="7">
        <v>1378.1282464651254</v>
      </c>
      <c r="L45" s="7">
        <v>1413.4293029820105</v>
      </c>
      <c r="M45" t="s">
        <v>65</v>
      </c>
    </row>
    <row r="46" spans="1:13" x14ac:dyDescent="0.25">
      <c r="A46" s="1" t="s">
        <v>276</v>
      </c>
      <c r="B46" s="7">
        <v>966.93830625935186</v>
      </c>
      <c r="C46" s="7">
        <v>1027.8882654182562</v>
      </c>
      <c r="D46" s="7">
        <v>1055.198580919279</v>
      </c>
      <c r="E46" s="7">
        <v>1101.1993373267719</v>
      </c>
      <c r="F46" s="7">
        <v>1152.4128404814101</v>
      </c>
      <c r="G46" s="7">
        <v>1228.2171196534036</v>
      </c>
      <c r="H46" s="7">
        <v>1318.9480675744883</v>
      </c>
      <c r="I46" s="7">
        <v>1416.3814989400159</v>
      </c>
      <c r="J46" s="8">
        <v>1521.0125401137288</v>
      </c>
      <c r="K46" s="9">
        <v>1633.372893471545</v>
      </c>
      <c r="L46" s="9">
        <v>1754.0335393474943</v>
      </c>
      <c r="M46" t="s">
        <v>65</v>
      </c>
    </row>
    <row r="47" spans="1:13" x14ac:dyDescent="0.25">
      <c r="A47" s="1" t="s">
        <v>275</v>
      </c>
      <c r="B47" s="7">
        <v>831.32737492727358</v>
      </c>
      <c r="C47" s="7">
        <v>839.04953964524736</v>
      </c>
      <c r="D47" s="7">
        <v>881.85684334029941</v>
      </c>
      <c r="E47" s="7">
        <v>883.83778300340134</v>
      </c>
      <c r="F47" s="7">
        <v>909.9210165172841</v>
      </c>
      <c r="G47" s="7">
        <v>972.10197562288863</v>
      </c>
      <c r="H47" s="7">
        <v>1087.5535023332118</v>
      </c>
      <c r="I47" s="7">
        <v>1216.7166100854351</v>
      </c>
      <c r="J47" s="7">
        <v>1361.2197524827779</v>
      </c>
      <c r="K47" s="8">
        <v>1522.8847861452036</v>
      </c>
      <c r="L47" s="7">
        <v>1703.7499401859916</v>
      </c>
      <c r="M47" t="s">
        <v>65</v>
      </c>
    </row>
    <row r="48" spans="1:13" x14ac:dyDescent="0.25">
      <c r="A48" t="s">
        <v>274</v>
      </c>
      <c r="B48" s="7">
        <v>231.10694666374914</v>
      </c>
      <c r="C48" s="7">
        <v>246.91884965734783</v>
      </c>
      <c r="D48" s="7">
        <v>264.66154284696415</v>
      </c>
      <c r="E48" s="7">
        <v>275.35693895379859</v>
      </c>
      <c r="F48" s="7">
        <v>285.92207740589731</v>
      </c>
      <c r="G48" s="7">
        <v>298.38790455823124</v>
      </c>
      <c r="H48" s="7">
        <v>308.32996395608149</v>
      </c>
      <c r="I48" s="7">
        <v>318.60328525684542</v>
      </c>
      <c r="J48" s="7">
        <v>329.21890585669331</v>
      </c>
      <c r="K48" s="7">
        <v>340.18823090949138</v>
      </c>
      <c r="L48" s="7">
        <v>351.52304558021046</v>
      </c>
      <c r="M48" t="s">
        <v>65</v>
      </c>
    </row>
    <row r="49" spans="1:13" x14ac:dyDescent="0.25">
      <c r="A49" t="s">
        <v>84</v>
      </c>
      <c r="B49" s="7">
        <v>413.55658775206217</v>
      </c>
      <c r="C49" s="7">
        <v>423.59771301039638</v>
      </c>
      <c r="D49" s="7">
        <v>453.23822500155285</v>
      </c>
      <c r="E49" s="7">
        <v>481.42867124072222</v>
      </c>
      <c r="F49" s="7">
        <v>507.87163358654806</v>
      </c>
      <c r="G49" s="7">
        <v>536.41509037970661</v>
      </c>
      <c r="H49" s="7">
        <v>551.28115520709423</v>
      </c>
      <c r="I49" s="7">
        <v>566.55921419239348</v>
      </c>
      <c r="J49" s="7">
        <v>582.26068523187519</v>
      </c>
      <c r="K49" s="7">
        <v>598.39730265434378</v>
      </c>
      <c r="L49" s="7">
        <v>614.98112599066417</v>
      </c>
      <c r="M49" t="s">
        <v>65</v>
      </c>
    </row>
    <row r="50" spans="1:13" x14ac:dyDescent="0.25">
      <c r="A50" t="s">
        <v>273</v>
      </c>
      <c r="B50" s="7">
        <v>302.47865176637822</v>
      </c>
      <c r="C50" s="7">
        <v>312.23171491615636</v>
      </c>
      <c r="D50" s="7">
        <v>323.39209403997614</v>
      </c>
      <c r="E50" s="7">
        <v>336.21173087053671</v>
      </c>
      <c r="F50" s="7">
        <v>350.48404405269577</v>
      </c>
      <c r="G50" s="7">
        <v>365.18392260472632</v>
      </c>
      <c r="H50" s="7">
        <v>381.19578196550793</v>
      </c>
      <c r="I50" s="7">
        <v>397.90969753500974</v>
      </c>
      <c r="J50" s="7">
        <v>415.35645167954527</v>
      </c>
      <c r="K50" s="7">
        <v>433.56817644949012</v>
      </c>
      <c r="L50" s="7">
        <v>452.57841275754919</v>
      </c>
      <c r="M50" t="s">
        <v>65</v>
      </c>
    </row>
    <row r="51" spans="1:13" x14ac:dyDescent="0.25">
      <c r="A51" t="s">
        <v>272</v>
      </c>
      <c r="B51" s="7">
        <v>4619.7980044713595</v>
      </c>
      <c r="C51" s="7">
        <v>4898.1610987525655</v>
      </c>
      <c r="D51" s="7">
        <v>5166.3587757684236</v>
      </c>
      <c r="E51" s="7">
        <v>5389.3605722153297</v>
      </c>
      <c r="F51" s="7">
        <v>5607.602331733804</v>
      </c>
      <c r="G51" s="7">
        <v>5837.1480086848196</v>
      </c>
      <c r="H51" s="7">
        <v>6022.4824569546763</v>
      </c>
      <c r="I51" s="7">
        <v>6213.7014326794442</v>
      </c>
      <c r="J51" s="7">
        <v>6410.9917746453893</v>
      </c>
      <c r="K51" s="7">
        <v>6614.5462539302489</v>
      </c>
      <c r="L51" s="7">
        <v>6824.5637622585691</v>
      </c>
    </row>
    <row r="52" spans="1:13" x14ac:dyDescent="0.25">
      <c r="A52" t="s">
        <v>271</v>
      </c>
      <c r="B52" s="7">
        <v>711.39823964784466</v>
      </c>
      <c r="C52" s="7">
        <v>740.53056338791214</v>
      </c>
      <c r="D52" s="7">
        <v>760.94241177690924</v>
      </c>
      <c r="E52" s="7">
        <v>782.69052528485304</v>
      </c>
      <c r="F52" s="7">
        <v>803.45665343733435</v>
      </c>
      <c r="G52" s="7">
        <v>823.51004495749851</v>
      </c>
      <c r="H52" s="7">
        <v>841.60459749811184</v>
      </c>
      <c r="I52" s="7">
        <v>860.09673211273855</v>
      </c>
      <c r="J52" s="7">
        <v>878.99518466291602</v>
      </c>
      <c r="K52" s="7">
        <v>898.30888295866669</v>
      </c>
      <c r="L52" s="7">
        <v>918.04695097608135</v>
      </c>
      <c r="M52" t="s">
        <v>65</v>
      </c>
    </row>
    <row r="53" spans="1:13" x14ac:dyDescent="0.25">
      <c r="A53" t="s">
        <v>270</v>
      </c>
      <c r="B53" s="7">
        <v>1051.1698650375301</v>
      </c>
      <c r="C53" s="7">
        <v>1113.9107974710837</v>
      </c>
      <c r="D53" s="7">
        <v>1141.9192348588092</v>
      </c>
      <c r="E53" s="7">
        <v>1195.0528211349808</v>
      </c>
      <c r="F53" s="7">
        <v>1215.2331609247669</v>
      </c>
      <c r="G53" s="7">
        <v>1243.4453501512185</v>
      </c>
      <c r="H53" s="7">
        <v>1279.4910336148764</v>
      </c>
      <c r="I53" s="7">
        <v>1316.5816293428363</v>
      </c>
      <c r="J53" s="7">
        <v>1354.7474278313564</v>
      </c>
      <c r="K53" s="7">
        <v>1394.019597654401</v>
      </c>
      <c r="L53" s="7">
        <v>1434.4302109178429</v>
      </c>
      <c r="M53" t="s">
        <v>65</v>
      </c>
    </row>
    <row r="54" spans="1:13" x14ac:dyDescent="0.25">
      <c r="A54" t="s">
        <v>269</v>
      </c>
      <c r="B54" s="7">
        <v>1443.9919848354762</v>
      </c>
      <c r="C54" s="8">
        <v>1528.4307156845014</v>
      </c>
      <c r="D54" s="7">
        <v>1622.2471029668891</v>
      </c>
      <c r="E54" s="7">
        <v>1722.8009802802633</v>
      </c>
      <c r="F54" s="7">
        <v>1830.7533806460656</v>
      </c>
      <c r="G54" s="7">
        <v>1928.4311438990208</v>
      </c>
      <c r="H54" s="7">
        <v>2015.7533679026635</v>
      </c>
      <c r="I54" s="7">
        <v>2107.0296717960991</v>
      </c>
      <c r="J54" s="7">
        <v>2202.4391021846254</v>
      </c>
      <c r="K54" s="7">
        <v>2302.1688131695346</v>
      </c>
      <c r="L54" s="7">
        <v>2406.414433467563</v>
      </c>
      <c r="M54" t="s">
        <v>10</v>
      </c>
    </row>
    <row r="55" spans="1:13" x14ac:dyDescent="0.25">
      <c r="A55" t="s">
        <v>268</v>
      </c>
      <c r="B55" s="7">
        <v>2037.932556189684</v>
      </c>
      <c r="C55" s="7">
        <v>2369.7964051492313</v>
      </c>
      <c r="D55" s="7">
        <v>2497.5382804916721</v>
      </c>
      <c r="E55" s="7">
        <v>3023.7675168037845</v>
      </c>
      <c r="F55" s="7">
        <v>3428.669856078644</v>
      </c>
      <c r="G55" s="7">
        <v>3761.620665525234</v>
      </c>
      <c r="H55" s="7">
        <v>4205.4069744872995</v>
      </c>
      <c r="I55" s="7">
        <v>4701.5500481351728</v>
      </c>
      <c r="J55" s="7">
        <v>5256.2268025949397</v>
      </c>
      <c r="K55" s="7">
        <v>5876.342890633653</v>
      </c>
      <c r="L55" s="7">
        <v>6569.6186761295985</v>
      </c>
      <c r="M55" t="s">
        <v>10</v>
      </c>
    </row>
    <row r="56" spans="1:13" x14ac:dyDescent="0.25">
      <c r="A56" t="s">
        <v>32</v>
      </c>
      <c r="B56" s="7">
        <v>2868.1469999999999</v>
      </c>
      <c r="C56" s="7">
        <v>2987.4340000000002</v>
      </c>
      <c r="D56" s="7">
        <v>3165.5639999999999</v>
      </c>
      <c r="E56" s="7">
        <v>3354.1439999999998</v>
      </c>
      <c r="F56" s="7">
        <v>3554.6590000000001</v>
      </c>
      <c r="G56" s="7">
        <v>3767.326</v>
      </c>
      <c r="H56" s="7">
        <v>3979.9929999999999</v>
      </c>
      <c r="I56" s="7">
        <v>4192.66</v>
      </c>
      <c r="J56" s="7">
        <v>4405.3270000000002</v>
      </c>
      <c r="K56" s="7">
        <v>4617.9939999999997</v>
      </c>
      <c r="L56" s="7">
        <v>4830.6610000000001</v>
      </c>
    </row>
    <row r="57" spans="1:13" x14ac:dyDescent="0.25">
      <c r="A57" t="s">
        <v>267</v>
      </c>
      <c r="B57" s="7">
        <v>433.82995502413462</v>
      </c>
      <c r="C57" s="7">
        <v>430.20895321852799</v>
      </c>
      <c r="D57" s="7">
        <v>445.66551187391531</v>
      </c>
      <c r="E57" s="7">
        <v>463.66960689716939</v>
      </c>
      <c r="F57" s="7">
        <v>482.68320265225231</v>
      </c>
      <c r="G57" s="7">
        <v>503.82863774597416</v>
      </c>
      <c r="H57" s="7">
        <v>533.4759313194628</v>
      </c>
      <c r="I57" s="7">
        <v>564.86779030742446</v>
      </c>
      <c r="J57" s="7">
        <v>598.10687192131172</v>
      </c>
      <c r="K57" s="7">
        <v>633.3018741337753</v>
      </c>
      <c r="L57" s="7">
        <v>670.5678911412308</v>
      </c>
      <c r="M57" t="s">
        <v>65</v>
      </c>
    </row>
    <row r="58" spans="1:13" x14ac:dyDescent="0.25">
      <c r="A58" t="s">
        <v>79</v>
      </c>
      <c r="B58" s="7">
        <v>582.58100000000002</v>
      </c>
      <c r="C58" s="7">
        <v>592.04100000000005</v>
      </c>
      <c r="D58" s="7">
        <v>601.62699999999995</v>
      </c>
      <c r="E58" s="7">
        <v>611.41099999999994</v>
      </c>
      <c r="F58" s="7">
        <v>621.39700000000005</v>
      </c>
      <c r="G58" s="7">
        <v>631.59199999999998</v>
      </c>
      <c r="H58" s="7">
        <v>641.78700000000003</v>
      </c>
      <c r="I58" s="7">
        <v>651.98199999999997</v>
      </c>
      <c r="J58" s="7">
        <v>662.17700000000002</v>
      </c>
      <c r="K58" s="7">
        <v>672.37199999999996</v>
      </c>
      <c r="L58" s="7">
        <v>682.56700000000001</v>
      </c>
      <c r="M58" t="s">
        <v>65</v>
      </c>
    </row>
    <row r="59" spans="1:13" x14ac:dyDescent="0.25">
      <c r="A59" t="s">
        <v>266</v>
      </c>
      <c r="B59" s="7">
        <v>490.00091507589184</v>
      </c>
      <c r="C59" s="7">
        <v>504.37163541114785</v>
      </c>
      <c r="D59" s="7">
        <v>522.18563994022873</v>
      </c>
      <c r="E59" s="7">
        <v>541.44537303216782</v>
      </c>
      <c r="F59" s="7">
        <v>563.1227108738758</v>
      </c>
      <c r="G59" s="7">
        <v>588.90903136870929</v>
      </c>
      <c r="H59" s="7">
        <v>607.2801818479046</v>
      </c>
      <c r="I59" s="7">
        <v>626.22442452292626</v>
      </c>
      <c r="J59" s="7">
        <v>645.7596371344905</v>
      </c>
      <c r="K59" s="7">
        <v>665.90425512347952</v>
      </c>
      <c r="L59" s="7">
        <v>686.67728902852514</v>
      </c>
      <c r="M59" t="s">
        <v>65</v>
      </c>
    </row>
    <row r="60" spans="1:13" x14ac:dyDescent="0.25">
      <c r="A60" t="s">
        <v>265</v>
      </c>
      <c r="B60" s="7">
        <v>1064.5972296791122</v>
      </c>
      <c r="C60" s="7">
        <v>1072.3480823956411</v>
      </c>
      <c r="D60" s="7">
        <v>1090.9548828814</v>
      </c>
      <c r="E60" s="7">
        <v>1115.4568628555542</v>
      </c>
      <c r="F60" s="7">
        <v>1140.137010503046</v>
      </c>
      <c r="G60" s="7">
        <v>1164.4678879540863</v>
      </c>
      <c r="H60" s="7">
        <v>1196.6986417516032</v>
      </c>
      <c r="I60" s="7">
        <v>1229.8214952807677</v>
      </c>
      <c r="J60" s="7">
        <v>1263.8611405464953</v>
      </c>
      <c r="K60" s="7">
        <v>1298.8429529919833</v>
      </c>
      <c r="L60" s="7">
        <v>1334.7930104152713</v>
      </c>
      <c r="M60" t="s">
        <v>65</v>
      </c>
    </row>
    <row r="61" spans="1:13" x14ac:dyDescent="0.25">
      <c r="A61" t="s">
        <v>264</v>
      </c>
      <c r="B61" s="7">
        <v>367.05763769803974</v>
      </c>
      <c r="C61" s="7">
        <v>365.05627243251149</v>
      </c>
      <c r="D61" s="7">
        <v>390.57695127746518</v>
      </c>
      <c r="E61" s="7">
        <v>392.10715865470593</v>
      </c>
      <c r="F61" s="7">
        <v>395.04290299229444</v>
      </c>
      <c r="G61" s="7">
        <v>396.29565176283182</v>
      </c>
      <c r="H61" s="7">
        <v>397.72262927612155</v>
      </c>
      <c r="I61" s="7">
        <v>399.15474503610756</v>
      </c>
      <c r="J61" s="7">
        <v>400.59201754453841</v>
      </c>
      <c r="K61" s="7">
        <v>402.0344653697835</v>
      </c>
      <c r="L61" s="7">
        <v>403.48210714707324</v>
      </c>
      <c r="M61" t="s">
        <v>65</v>
      </c>
    </row>
    <row r="62" spans="1:13" x14ac:dyDescent="0.25">
      <c r="A62" s="1" t="s">
        <v>263</v>
      </c>
      <c r="B62" s="7">
        <v>1344.488971682101</v>
      </c>
      <c r="C62" s="7">
        <v>1468.449409754807</v>
      </c>
      <c r="D62" s="8">
        <v>1527.4784022343656</v>
      </c>
      <c r="E62" s="7">
        <v>1589.4011393718508</v>
      </c>
      <c r="F62" s="7">
        <v>1643.80237140234</v>
      </c>
      <c r="G62" s="7">
        <v>1698.7223880383215</v>
      </c>
      <c r="H62" s="7">
        <v>1768.8173351370529</v>
      </c>
      <c r="I62" s="7">
        <v>1841.8046333600007</v>
      </c>
      <c r="J62" s="7">
        <v>1917.8036307539498</v>
      </c>
      <c r="K62" s="7">
        <v>1996.9386000638506</v>
      </c>
      <c r="L62" s="7">
        <v>2079.3389419422742</v>
      </c>
      <c r="M62" t="s">
        <v>65</v>
      </c>
    </row>
    <row r="63" spans="1:13" x14ac:dyDescent="0.25">
      <c r="A63" t="s">
        <v>262</v>
      </c>
      <c r="B63" s="7">
        <v>956.56140048126508</v>
      </c>
      <c r="C63" s="7">
        <v>985.59228708064393</v>
      </c>
      <c r="D63" s="7">
        <v>1001.8983636078631</v>
      </c>
      <c r="E63" s="7">
        <v>1024.8057822382677</v>
      </c>
      <c r="F63" s="7">
        <v>1053.7889246212576</v>
      </c>
      <c r="G63" s="7">
        <v>1089.3950875958783</v>
      </c>
      <c r="H63" s="7">
        <v>1134.0425066563068</v>
      </c>
      <c r="I63" s="7">
        <v>1180.5197412276134</v>
      </c>
      <c r="J63" s="7">
        <v>1228.9017838821424</v>
      </c>
      <c r="K63" s="7">
        <v>1279.2667006637823</v>
      </c>
      <c r="L63" s="7">
        <v>1331.6957570501422</v>
      </c>
      <c r="M63" t="s">
        <v>65</v>
      </c>
    </row>
    <row r="64" spans="1:13" x14ac:dyDescent="0.25">
      <c r="A64" s="1" t="s">
        <v>261</v>
      </c>
      <c r="B64" s="7">
        <v>1271.4063627859709</v>
      </c>
      <c r="C64" s="7">
        <v>1241.7817898467626</v>
      </c>
      <c r="D64" s="7">
        <v>1171.33757916081</v>
      </c>
      <c r="E64" s="7">
        <v>1121.4518645789494</v>
      </c>
      <c r="F64" s="7">
        <v>1296.3021263087915</v>
      </c>
      <c r="G64" s="7">
        <v>1275.4563199975235</v>
      </c>
      <c r="H64" s="7">
        <v>1338.6551806534007</v>
      </c>
      <c r="I64" s="7">
        <v>1404.9855448547767</v>
      </c>
      <c r="J64" s="7">
        <v>1474.6025786023306</v>
      </c>
      <c r="K64" s="8">
        <v>1547.6691363720761</v>
      </c>
      <c r="L64" s="9">
        <v>1624.3561420793126</v>
      </c>
      <c r="M64" t="s">
        <v>65</v>
      </c>
    </row>
    <row r="65" spans="1:13" x14ac:dyDescent="0.25">
      <c r="A65" t="s">
        <v>27</v>
      </c>
      <c r="B65" s="7">
        <v>2681.6439999999998</v>
      </c>
      <c r="C65" s="7">
        <v>2790.2249999999999</v>
      </c>
      <c r="D65" s="7">
        <v>2901.087</v>
      </c>
      <c r="E65" s="7">
        <v>3012.846</v>
      </c>
      <c r="F65" s="7">
        <v>3136.5549999999998</v>
      </c>
      <c r="G65" s="7">
        <v>3266.0659999999998</v>
      </c>
      <c r="H65" s="7">
        <v>3395.5770000000002</v>
      </c>
      <c r="I65" s="7">
        <v>3525.0880000000002</v>
      </c>
      <c r="J65" s="7">
        <v>3654.5990000000002</v>
      </c>
      <c r="K65" s="7">
        <v>3784.11</v>
      </c>
      <c r="L65" s="7">
        <v>3913.6210000000001</v>
      </c>
    </row>
    <row r="66" spans="1:13" x14ac:dyDescent="0.25">
      <c r="A66" t="s">
        <v>26</v>
      </c>
      <c r="B66" s="7">
        <v>2011</v>
      </c>
      <c r="C66" s="7">
        <v>2219.0030000000002</v>
      </c>
      <c r="D66" s="7">
        <v>2340.9169999999999</v>
      </c>
      <c r="E66" s="7">
        <v>2469.529</v>
      </c>
      <c r="F66" s="7">
        <v>2605.2069999999999</v>
      </c>
      <c r="G66" s="7">
        <v>2748.3389999999999</v>
      </c>
      <c r="H66" s="7">
        <v>2891.471</v>
      </c>
      <c r="I66" s="7">
        <v>3034.6030000000001</v>
      </c>
      <c r="J66" s="7">
        <v>3177.7350000000001</v>
      </c>
      <c r="K66" s="7">
        <v>3320.8670000000002</v>
      </c>
      <c r="L66" s="7">
        <v>3463.9989999999998</v>
      </c>
    </row>
    <row r="67" spans="1:13" x14ac:dyDescent="0.25">
      <c r="A67" t="s">
        <v>260</v>
      </c>
      <c r="B67" s="7">
        <v>550.557827116309</v>
      </c>
      <c r="C67" s="7">
        <v>568.13741651408009</v>
      </c>
      <c r="D67" s="7">
        <v>590.00000243045542</v>
      </c>
      <c r="E67" s="7">
        <v>614.4379928982006</v>
      </c>
      <c r="F67" s="7">
        <v>637.11687577712291</v>
      </c>
      <c r="G67" s="7">
        <v>664.53479214353536</v>
      </c>
      <c r="H67" s="7">
        <v>695.77073048335922</v>
      </c>
      <c r="I67" s="7">
        <v>728.47488968310552</v>
      </c>
      <c r="J67" s="7">
        <v>762.71628231636998</v>
      </c>
      <c r="K67" s="7">
        <v>798.5671648388128</v>
      </c>
      <c r="L67" s="7">
        <v>836.10319006429927</v>
      </c>
      <c r="M67" t="s">
        <v>65</v>
      </c>
    </row>
    <row r="68" spans="1:13" x14ac:dyDescent="0.25">
      <c r="A68" t="s">
        <v>259</v>
      </c>
      <c r="B68" s="7">
        <v>2990.5817781708247</v>
      </c>
      <c r="C68" s="7">
        <v>3214.7877745267529</v>
      </c>
      <c r="D68" s="7">
        <v>3350.2264974963805</v>
      </c>
      <c r="E68" s="7">
        <v>3501.7581460805573</v>
      </c>
      <c r="F68" s="7">
        <v>3675.8279988412164</v>
      </c>
      <c r="G68" s="7">
        <v>3852.7822202803291</v>
      </c>
      <c r="H68" s="7">
        <v>3953.3362829658627</v>
      </c>
      <c r="I68" s="7">
        <v>4056.5147139505802</v>
      </c>
      <c r="J68" s="7">
        <v>4162.3860068267431</v>
      </c>
      <c r="K68" s="7">
        <v>4271.0204428062025</v>
      </c>
      <c r="L68" s="7">
        <v>4382.4901373756193</v>
      </c>
    </row>
    <row r="69" spans="1:13" x14ac:dyDescent="0.25">
      <c r="A69" s="1" t="s">
        <v>258</v>
      </c>
      <c r="B69" s="7">
        <v>1216.5972431279986</v>
      </c>
      <c r="C69" s="7">
        <v>1231.8234431751748</v>
      </c>
      <c r="D69" s="7">
        <v>1268.9684243180016</v>
      </c>
      <c r="E69" s="7">
        <v>1317.1204480580188</v>
      </c>
      <c r="F69" s="7">
        <v>1370.6290943616011</v>
      </c>
      <c r="G69" s="8">
        <v>1692.1153840844397</v>
      </c>
      <c r="H69" s="7">
        <v>1761.2366514947291</v>
      </c>
      <c r="I69" s="7">
        <v>1833.1814554400225</v>
      </c>
      <c r="J69" s="7">
        <v>1908.0651346411394</v>
      </c>
      <c r="K69" s="7">
        <v>1986.0077392934463</v>
      </c>
      <c r="L69" s="7">
        <v>2067.1342235260113</v>
      </c>
      <c r="M69" t="s">
        <v>65</v>
      </c>
    </row>
    <row r="70" spans="1:13" x14ac:dyDescent="0.25">
      <c r="A70" t="s">
        <v>257</v>
      </c>
      <c r="B70" s="7">
        <v>1041.5629831966555</v>
      </c>
      <c r="C70" s="7">
        <v>1053.4855508358662</v>
      </c>
      <c r="D70" s="7">
        <v>1078.0774189204283</v>
      </c>
      <c r="E70" s="7">
        <v>1090.1731167060398</v>
      </c>
      <c r="F70" s="7">
        <v>1110.6098750090321</v>
      </c>
      <c r="G70" s="7">
        <v>1133.5849274502316</v>
      </c>
      <c r="H70" s="7">
        <v>1165.9718595207357</v>
      </c>
      <c r="I70" s="7">
        <v>1199.2840979741488</v>
      </c>
      <c r="J70" s="7">
        <v>1233.5480791490656</v>
      </c>
      <c r="K70" s="7">
        <v>1268.7909946798522</v>
      </c>
      <c r="L70" s="7">
        <v>1305.0408130757198</v>
      </c>
      <c r="M70" t="s">
        <v>65</v>
      </c>
    </row>
    <row r="71" spans="1:13" x14ac:dyDescent="0.25">
      <c r="A71" t="s">
        <v>256</v>
      </c>
      <c r="B71" s="7">
        <v>324.45540262082625</v>
      </c>
      <c r="C71" s="7">
        <v>350.27949004601106</v>
      </c>
      <c r="D71" s="7">
        <v>371.87635952400785</v>
      </c>
      <c r="E71" s="7">
        <v>385.6240903498325</v>
      </c>
      <c r="F71" s="7">
        <v>398.54152055230327</v>
      </c>
      <c r="G71" s="7">
        <v>429.70861881684255</v>
      </c>
      <c r="H71" s="7">
        <v>448.03293551077809</v>
      </c>
      <c r="I71" s="7">
        <v>467.13866679030929</v>
      </c>
      <c r="J71" s="7">
        <v>487.05913497597783</v>
      </c>
      <c r="K71" s="7">
        <v>507.82908337158653</v>
      </c>
      <c r="L71" s="7">
        <v>529.48473686002251</v>
      </c>
      <c r="M71" t="s">
        <v>65</v>
      </c>
    </row>
    <row r="72" spans="1:13" x14ac:dyDescent="0.25">
      <c r="A72" s="1" t="s">
        <v>255</v>
      </c>
      <c r="B72" s="7">
        <v>1249.4294288747008</v>
      </c>
      <c r="C72" s="7">
        <v>1257.6904610747031</v>
      </c>
      <c r="D72" s="7">
        <v>1331.7106661633027</v>
      </c>
      <c r="E72" s="7">
        <v>1424.4877582342908</v>
      </c>
      <c r="F72" s="8">
        <v>1515.1997347449294</v>
      </c>
      <c r="G72" s="7">
        <v>1666.6069544287679</v>
      </c>
      <c r="H72" s="7">
        <v>1806.7597999859579</v>
      </c>
      <c r="I72" s="7">
        <v>1958.6987598789724</v>
      </c>
      <c r="J72" s="7">
        <v>2123.4149840954183</v>
      </c>
      <c r="K72" s="7">
        <v>2301.9829731038121</v>
      </c>
      <c r="L72" s="7">
        <v>2495.5675871889498</v>
      </c>
      <c r="M72" t="s">
        <v>65</v>
      </c>
    </row>
    <row r="73" spans="1:13" x14ac:dyDescent="0.25">
      <c r="A73" t="s">
        <v>130</v>
      </c>
      <c r="B73" s="7" t="s">
        <v>246</v>
      </c>
      <c r="C73" s="7"/>
      <c r="D73" s="7"/>
      <c r="E73" s="7"/>
      <c r="F73" s="7"/>
      <c r="G73" s="7"/>
      <c r="H73" s="7"/>
      <c r="I73" s="7"/>
      <c r="J73" s="7"/>
      <c r="K73" s="7"/>
      <c r="L73" s="7"/>
      <c r="M73" t="s">
        <v>65</v>
      </c>
    </row>
    <row r="74" spans="1:13" x14ac:dyDescent="0.25">
      <c r="A74" t="s">
        <v>254</v>
      </c>
      <c r="B74" s="7">
        <v>1795.631594227006</v>
      </c>
      <c r="C74" s="7">
        <v>1871.7436863603475</v>
      </c>
      <c r="D74" s="7">
        <v>1953.3513363608158</v>
      </c>
      <c r="E74" s="7">
        <v>2055.5549231117689</v>
      </c>
      <c r="F74" s="7">
        <v>2162.8980512997705</v>
      </c>
      <c r="G74" s="7">
        <v>2285.2540331789346</v>
      </c>
      <c r="H74" s="7">
        <v>2424.056060361539</v>
      </c>
      <c r="I74" s="7">
        <v>2571.2886613316887</v>
      </c>
      <c r="J74" s="7">
        <v>2727.4638932677253</v>
      </c>
      <c r="K74" s="7">
        <v>2893.1249147368762</v>
      </c>
      <c r="L74" s="7">
        <v>3068.8478747350546</v>
      </c>
      <c r="M74" t="s">
        <v>10</v>
      </c>
    </row>
    <row r="75" spans="1:13" x14ac:dyDescent="0.25">
      <c r="A75" t="s">
        <v>253</v>
      </c>
      <c r="B75" s="7">
        <v>5720.0559153754548</v>
      </c>
      <c r="C75" s="7">
        <v>5859.0594271160662</v>
      </c>
      <c r="D75" s="7">
        <v>6028.4277458147499</v>
      </c>
      <c r="E75" s="7">
        <v>6209.7990857124487</v>
      </c>
      <c r="F75" s="7">
        <v>6400.9949987579894</v>
      </c>
      <c r="G75" s="7">
        <v>6599.1667381925226</v>
      </c>
      <c r="H75" s="7">
        <v>6792.9178361150862</v>
      </c>
      <c r="I75" s="7">
        <v>6992.3574534273685</v>
      </c>
      <c r="J75" s="7">
        <v>7197.6526046815161</v>
      </c>
      <c r="K75" s="7">
        <v>7408.975207965852</v>
      </c>
      <c r="L75" s="7">
        <v>7626.502228872374</v>
      </c>
    </row>
    <row r="76" spans="1:13" x14ac:dyDescent="0.25">
      <c r="A76" t="s">
        <v>252</v>
      </c>
      <c r="B76" s="7">
        <v>5285.7645570132727</v>
      </c>
      <c r="C76" s="7">
        <v>5426.0764183802057</v>
      </c>
      <c r="D76" s="7">
        <v>5612.5949079705797</v>
      </c>
      <c r="E76" s="7">
        <v>5887.291897198982</v>
      </c>
      <c r="F76" s="7">
        <v>6198.2063193909007</v>
      </c>
      <c r="G76" s="7">
        <v>6537.9481244489152</v>
      </c>
      <c r="H76" s="7">
        <v>6826.1715593641547</v>
      </c>
      <c r="I76" s="7">
        <v>7127.1012358789094</v>
      </c>
      <c r="J76" s="7">
        <v>7441.2973047513306</v>
      </c>
      <c r="K76" s="7">
        <v>7769.3446108136932</v>
      </c>
      <c r="L76" s="7">
        <v>8111.8537816030648</v>
      </c>
    </row>
    <row r="77" spans="1:13" x14ac:dyDescent="0.25">
      <c r="A77" s="1" t="s">
        <v>251</v>
      </c>
      <c r="B77" s="8">
        <v>1513.629398712314</v>
      </c>
      <c r="C77" s="7">
        <v>1657.2379205618959</v>
      </c>
      <c r="D77" s="7">
        <v>1801.8981545191075</v>
      </c>
      <c r="E77" s="7">
        <v>1936.6417703760139</v>
      </c>
      <c r="F77" s="7">
        <v>2034.7923611614333</v>
      </c>
      <c r="G77" s="7">
        <v>2087.0179728629437</v>
      </c>
      <c r="H77" s="7">
        <v>2153.2195605422626</v>
      </c>
      <c r="I77" s="7">
        <v>2221.5211062805197</v>
      </c>
      <c r="J77" s="7">
        <v>2291.9892221334653</v>
      </c>
      <c r="K77" s="7">
        <v>2364.6926331352292</v>
      </c>
      <c r="L77" s="7">
        <v>2439.7022443233841</v>
      </c>
      <c r="M77" t="s">
        <v>65</v>
      </c>
    </row>
    <row r="78" spans="1:13" x14ac:dyDescent="0.25">
      <c r="A78" t="s">
        <v>20</v>
      </c>
      <c r="B78" s="7">
        <v>3072.8310000000001</v>
      </c>
      <c r="C78" s="7">
        <v>3131.317</v>
      </c>
      <c r="D78" s="7">
        <v>3208.1689999999999</v>
      </c>
      <c r="E78" s="7">
        <v>3229.0540000000001</v>
      </c>
      <c r="F78" s="7">
        <v>3288.4380000000001</v>
      </c>
      <c r="G78" s="7">
        <v>3322.3339999999998</v>
      </c>
      <c r="H78" s="7">
        <v>3356.23</v>
      </c>
      <c r="I78" s="7">
        <v>3390.1260000000002</v>
      </c>
      <c r="J78" s="7">
        <v>3424.0219999999999</v>
      </c>
      <c r="K78" s="7">
        <v>3457.9180000000001</v>
      </c>
      <c r="L78" s="7">
        <v>3491.8139999999999</v>
      </c>
    </row>
    <row r="79" spans="1:13" x14ac:dyDescent="0.25">
      <c r="A79" t="s">
        <v>19</v>
      </c>
      <c r="B79" s="7">
        <v>2892.0210000000002</v>
      </c>
      <c r="C79" s="7">
        <v>3110.21</v>
      </c>
      <c r="D79" s="7">
        <v>3349.8119999999999</v>
      </c>
      <c r="E79" s="7">
        <v>3598.5740000000001</v>
      </c>
      <c r="F79" s="7">
        <v>3860.2240000000002</v>
      </c>
      <c r="G79" s="7">
        <v>4136.6170000000002</v>
      </c>
      <c r="H79" s="7">
        <v>4413.01</v>
      </c>
      <c r="I79" s="7">
        <v>4689.4030000000002</v>
      </c>
      <c r="J79" s="7">
        <v>4965.7960000000003</v>
      </c>
      <c r="K79" s="7">
        <v>5242.1890000000003</v>
      </c>
      <c r="L79" s="7">
        <v>5518.5820000000003</v>
      </c>
    </row>
    <row r="80" spans="1:13" x14ac:dyDescent="0.25">
      <c r="A80" t="s">
        <v>250</v>
      </c>
      <c r="B80" s="7">
        <v>771.30328465569346</v>
      </c>
      <c r="C80" s="7">
        <v>826.1293531064299</v>
      </c>
      <c r="D80" s="7">
        <v>872.68771350966358</v>
      </c>
      <c r="E80" s="7">
        <v>933.38906135626621</v>
      </c>
      <c r="F80" s="7">
        <v>998.18166264138779</v>
      </c>
      <c r="G80" s="7">
        <v>1067.8165841328112</v>
      </c>
      <c r="H80" s="7">
        <v>1103.8068009790309</v>
      </c>
      <c r="I80" s="7">
        <v>1141.0100498458105</v>
      </c>
      <c r="J80" s="7">
        <v>1179.4672153626923</v>
      </c>
      <c r="K80" s="7">
        <v>1219.2205601549385</v>
      </c>
      <c r="L80" s="7">
        <v>1260.3137712881794</v>
      </c>
      <c r="M80" t="s">
        <v>65</v>
      </c>
    </row>
    <row r="81" spans="1:13" x14ac:dyDescent="0.25">
      <c r="A81" t="s">
        <v>249</v>
      </c>
      <c r="B81" s="7">
        <v>539.91236498698481</v>
      </c>
      <c r="C81" s="7">
        <v>559.0870213610408</v>
      </c>
      <c r="D81" s="7">
        <v>584.46607230594896</v>
      </c>
      <c r="E81" s="7">
        <v>610.36205991831719</v>
      </c>
      <c r="F81" s="7">
        <v>637.18117068582978</v>
      </c>
      <c r="G81" s="7">
        <v>661.76664768195894</v>
      </c>
      <c r="H81" s="7">
        <v>690.12443145747898</v>
      </c>
      <c r="I81" s="7">
        <v>719.69739267277475</v>
      </c>
      <c r="J81" s="7">
        <v>750.53760366967049</v>
      </c>
      <c r="K81" s="7">
        <v>782.69936817504981</v>
      </c>
      <c r="L81" s="7">
        <v>816.23931691935604</v>
      </c>
      <c r="M81" t="s">
        <v>65</v>
      </c>
    </row>
    <row r="82" spans="1:13" x14ac:dyDescent="0.25">
      <c r="A82" t="s">
        <v>18</v>
      </c>
      <c r="B82" s="7">
        <v>4620.7049999999999</v>
      </c>
      <c r="C82" s="7">
        <v>4888.4610000000002</v>
      </c>
      <c r="D82" s="7">
        <v>5161.4939999999997</v>
      </c>
      <c r="E82" s="7">
        <v>5497.1329999999998</v>
      </c>
      <c r="F82" s="7">
        <v>5870.2479999999996</v>
      </c>
      <c r="G82" s="7">
        <v>6268.62</v>
      </c>
      <c r="H82" s="7">
        <v>6666.9920000000002</v>
      </c>
      <c r="I82" s="7">
        <v>7065.3639999999996</v>
      </c>
      <c r="J82" s="7">
        <v>7463.7359999999999</v>
      </c>
      <c r="K82" s="7">
        <v>7862.1080000000002</v>
      </c>
      <c r="L82" s="7">
        <v>8260.48</v>
      </c>
    </row>
    <row r="83" spans="1:13" x14ac:dyDescent="0.25">
      <c r="A83" t="s">
        <v>17</v>
      </c>
      <c r="B83" s="7">
        <v>558.23721420547588</v>
      </c>
      <c r="C83" s="7">
        <v>591.17259820187917</v>
      </c>
      <c r="D83" s="7">
        <v>620.08664527185169</v>
      </c>
      <c r="E83" s="7">
        <v>647.63103244096976</v>
      </c>
      <c r="F83" s="7">
        <v>675.50399238472971</v>
      </c>
      <c r="G83" s="7">
        <v>704.38098018658059</v>
      </c>
      <c r="H83" s="7">
        <v>723.23150349043055</v>
      </c>
      <c r="I83" s="7">
        <v>742.5865012744614</v>
      </c>
      <c r="J83" s="7">
        <v>762.45947419841889</v>
      </c>
      <c r="K83" s="7">
        <v>782.86428422439565</v>
      </c>
      <c r="L83" s="7">
        <v>803.81516428594227</v>
      </c>
      <c r="M83" t="s">
        <v>10</v>
      </c>
    </row>
    <row r="84" spans="1:13" x14ac:dyDescent="0.25">
      <c r="A84" t="s">
        <v>248</v>
      </c>
      <c r="B84" s="7">
        <v>432.34598496869609</v>
      </c>
      <c r="C84" s="7">
        <v>437.43197884040984</v>
      </c>
      <c r="D84" s="7">
        <v>440.23599938950036</v>
      </c>
      <c r="E84" s="7">
        <v>441.52222105382805</v>
      </c>
      <c r="F84" s="7">
        <v>445.86916191918164</v>
      </c>
      <c r="G84" s="7">
        <v>454.17983935211157</v>
      </c>
      <c r="H84" s="7">
        <v>464.22417214472262</v>
      </c>
      <c r="I84" s="7">
        <v>474.49063857803566</v>
      </c>
      <c r="J84" s="7">
        <v>484.98415120874813</v>
      </c>
      <c r="K84" s="7">
        <v>495.70973123632416</v>
      </c>
      <c r="L84" s="7">
        <v>506.67251090566413</v>
      </c>
    </row>
    <row r="85" spans="1:13" x14ac:dyDescent="0.25">
      <c r="A85" t="s">
        <v>247</v>
      </c>
      <c r="B85" s="7">
        <v>2869.8533686565493</v>
      </c>
      <c r="C85" s="7">
        <v>2899.356790397831</v>
      </c>
      <c r="D85" s="7">
        <v>2954.3785706005901</v>
      </c>
      <c r="E85" s="7">
        <v>3048.1954551776184</v>
      </c>
      <c r="F85" s="7">
        <v>3145.3117852829955</v>
      </c>
      <c r="G85" s="7">
        <v>3221.1526970375007</v>
      </c>
      <c r="H85" s="7">
        <v>3258.0385481599687</v>
      </c>
      <c r="I85" s="7">
        <v>3295.34678410582</v>
      </c>
      <c r="J85" s="7">
        <v>3333.0822416602605</v>
      </c>
      <c r="K85" s="7">
        <v>3371.2498129951728</v>
      </c>
      <c r="L85" s="7">
        <v>3409.8544463033522</v>
      </c>
    </row>
    <row r="86" spans="1:13" x14ac:dyDescent="0.25">
      <c r="A86" t="s">
        <v>15</v>
      </c>
      <c r="B86" s="7">
        <v>4159.9210000000003</v>
      </c>
      <c r="C86" s="7">
        <v>4274.47</v>
      </c>
      <c r="D86" s="7">
        <v>4438.6099999999997</v>
      </c>
      <c r="E86" s="7">
        <v>4650.7340000000004</v>
      </c>
      <c r="F86" s="7">
        <v>4883.1310000000003</v>
      </c>
      <c r="G86" s="7">
        <v>5149.4080000000004</v>
      </c>
      <c r="H86" s="7">
        <v>5415.6850000000004</v>
      </c>
      <c r="I86" s="7">
        <v>5681.9620000000004</v>
      </c>
      <c r="J86" s="7">
        <v>5948.2389999999996</v>
      </c>
      <c r="K86" s="7">
        <v>6214.5159999999996</v>
      </c>
      <c r="L86" s="7">
        <v>6480.7929999999997</v>
      </c>
    </row>
    <row r="87" spans="1:13" x14ac:dyDescent="0.25">
      <c r="A87" t="s">
        <v>121</v>
      </c>
      <c r="B87" s="7">
        <v>3663.4009999999998</v>
      </c>
      <c r="C87" s="7">
        <v>4255.6890000000003</v>
      </c>
      <c r="D87" s="7">
        <v>4999.4560000000001</v>
      </c>
      <c r="E87" s="7">
        <v>5716.34</v>
      </c>
      <c r="F87" s="7">
        <v>6336.4530000000004</v>
      </c>
      <c r="G87" s="7">
        <v>6981.5889999999999</v>
      </c>
      <c r="H87" s="7">
        <v>7626.7250000000004</v>
      </c>
      <c r="I87" s="7">
        <v>8271.8610000000008</v>
      </c>
      <c r="J87" s="7">
        <v>8916.9969999999994</v>
      </c>
      <c r="K87" s="7">
        <v>9562.1329999999998</v>
      </c>
      <c r="L87" s="7">
        <v>10207.269</v>
      </c>
    </row>
    <row r="88" spans="1:13" x14ac:dyDescent="0.25">
      <c r="A88" t="s">
        <v>12</v>
      </c>
      <c r="B88" s="7" t="s">
        <v>246</v>
      </c>
      <c r="C88" s="7"/>
      <c r="D88" s="7"/>
      <c r="E88" s="7"/>
      <c r="F88" s="7"/>
      <c r="G88" s="7"/>
      <c r="H88" s="7"/>
      <c r="I88" s="7"/>
      <c r="J88" s="7"/>
      <c r="K88" s="7"/>
      <c r="L88" s="7"/>
    </row>
    <row r="89" spans="1:13" x14ac:dyDescent="0.25">
      <c r="A89" t="s">
        <v>245</v>
      </c>
      <c r="B89" s="7">
        <v>520.41400965437083</v>
      </c>
      <c r="C89" s="7">
        <v>526.25315815017518</v>
      </c>
      <c r="D89" s="7">
        <v>548.20889995773155</v>
      </c>
      <c r="E89" s="7">
        <v>571.70609199581975</v>
      </c>
      <c r="F89" s="7">
        <v>597.61468413892737</v>
      </c>
      <c r="G89" s="7">
        <v>627.21037895561051</v>
      </c>
      <c r="H89" s="7">
        <v>654.56485617992382</v>
      </c>
      <c r="I89" s="7">
        <v>683.11234208094515</v>
      </c>
      <c r="J89" s="7">
        <v>712.90486725282688</v>
      </c>
      <c r="K89" s="7">
        <v>743.99673149595606</v>
      </c>
      <c r="L89" s="7">
        <v>776.44460278366955</v>
      </c>
      <c r="M89" t="s">
        <v>65</v>
      </c>
    </row>
    <row r="90" spans="1:13" x14ac:dyDescent="0.25">
      <c r="A90" t="s">
        <v>11</v>
      </c>
      <c r="B90" s="7">
        <v>3002.8</v>
      </c>
      <c r="C90" s="7">
        <v>3484.1390000000001</v>
      </c>
      <c r="D90" s="7">
        <v>3782.4160000000002</v>
      </c>
      <c r="E90" s="7">
        <v>3903.9090000000001</v>
      </c>
      <c r="F90" s="7">
        <v>4025.8850000000002</v>
      </c>
      <c r="G90" s="7">
        <v>4337.8370000000004</v>
      </c>
      <c r="H90" s="7">
        <v>4649.7889999999998</v>
      </c>
      <c r="I90" s="7">
        <v>4961.741</v>
      </c>
      <c r="J90" s="7">
        <v>5273.6930000000002</v>
      </c>
      <c r="K90" s="7">
        <v>5585.6450000000004</v>
      </c>
      <c r="L90" s="7">
        <v>5897.5969999999998</v>
      </c>
      <c r="M90" t="s">
        <v>10</v>
      </c>
    </row>
    <row r="91" spans="1:13" x14ac:dyDescent="0.25">
      <c r="A91" s="1" t="s">
        <v>244</v>
      </c>
      <c r="B91" s="7">
        <v>1331.8746337847044</v>
      </c>
      <c r="C91" s="7">
        <v>1445.1673172722076</v>
      </c>
      <c r="D91" s="8">
        <v>1598.7299663578563</v>
      </c>
      <c r="E91" s="7">
        <v>1758.6949689357357</v>
      </c>
      <c r="F91" s="7">
        <v>1934.1091068813614</v>
      </c>
      <c r="G91" s="7">
        <v>2128.6910852522769</v>
      </c>
      <c r="H91" s="7">
        <v>2232.8584451200445</v>
      </c>
      <c r="I91" s="7">
        <v>2342.1232279708815</v>
      </c>
      <c r="J91" s="7">
        <v>2456.7348758670751</v>
      </c>
      <c r="K91" s="7">
        <v>2576.9550373020124</v>
      </c>
      <c r="L91" s="7">
        <v>2703.0581645210946</v>
      </c>
      <c r="M91" t="s">
        <v>65</v>
      </c>
    </row>
    <row r="92" spans="1:13" x14ac:dyDescent="0.25">
      <c r="A92" t="s">
        <v>243</v>
      </c>
      <c r="B92" s="7">
        <v>2927.050592381057</v>
      </c>
      <c r="C92" s="7">
        <v>2943.3355937881993</v>
      </c>
      <c r="D92" s="7">
        <v>3041.8421556297972</v>
      </c>
      <c r="E92" s="7">
        <v>3138.7572411254241</v>
      </c>
      <c r="F92" s="7">
        <v>3239.1365806461436</v>
      </c>
      <c r="G92" s="7">
        <v>3343.6024299397263</v>
      </c>
      <c r="H92" s="7">
        <v>3423.9716553784997</v>
      </c>
      <c r="I92" s="7">
        <v>3506.2726931463326</v>
      </c>
      <c r="J92" s="7">
        <v>3590.5519776695146</v>
      </c>
      <c r="K92" s="7">
        <v>3676.8570595055025</v>
      </c>
      <c r="L92" s="7">
        <v>3765.2366321710451</v>
      </c>
    </row>
    <row r="93" spans="1:13" x14ac:dyDescent="0.25">
      <c r="A93" s="1" t="s">
        <v>242</v>
      </c>
      <c r="B93" s="7">
        <v>1151.0939262468089</v>
      </c>
      <c r="C93" s="7">
        <v>1260.7625153379086</v>
      </c>
      <c r="D93" s="7">
        <v>1366.09250135971</v>
      </c>
      <c r="E93" s="7">
        <v>1475.7264062497886</v>
      </c>
      <c r="F93" s="8">
        <v>1598.8737104700267</v>
      </c>
      <c r="G93" s="7">
        <v>1745.7905380403599</v>
      </c>
      <c r="H93" s="7">
        <v>1860.2790509421391</v>
      </c>
      <c r="I93" s="7">
        <v>1982.2756922824965</v>
      </c>
      <c r="J93" s="7">
        <v>2112.272843272624</v>
      </c>
      <c r="K93" s="7">
        <v>2250.7951753621023</v>
      </c>
      <c r="L93" s="7">
        <v>2398.401767824771</v>
      </c>
      <c r="M93" t="s">
        <v>65</v>
      </c>
    </row>
    <row r="94" spans="1:13" x14ac:dyDescent="0.25">
      <c r="A94" s="1" t="s">
        <v>241</v>
      </c>
      <c r="B94" s="7">
        <v>1274.0477907681093</v>
      </c>
      <c r="C94" s="7">
        <v>1315.5967844011639</v>
      </c>
      <c r="D94" s="7">
        <v>1376.6083122629564</v>
      </c>
      <c r="E94" s="7">
        <v>1413.9922900830238</v>
      </c>
      <c r="F94" s="7">
        <v>1429.1743218325491</v>
      </c>
      <c r="G94" s="7">
        <v>1438.1636694158133</v>
      </c>
      <c r="H94" s="7">
        <v>1468.4130743976607</v>
      </c>
      <c r="I94" s="9">
        <v>1499.2987258104358</v>
      </c>
      <c r="J94" s="8">
        <v>1530.8340060502919</v>
      </c>
      <c r="K94" s="7">
        <v>1563.0325789900526</v>
      </c>
      <c r="L94" s="7">
        <v>1595.90839589961</v>
      </c>
      <c r="M94" t="s">
        <v>65</v>
      </c>
    </row>
    <row r="95" spans="1:13" x14ac:dyDescent="0.25">
      <c r="A95" s="1" t="s">
        <v>240</v>
      </c>
      <c r="B95" s="7">
        <v>1204.199581402901</v>
      </c>
      <c r="C95" s="7">
        <v>1273.6708997249361</v>
      </c>
      <c r="D95" s="7">
        <v>1345.1693189126336</v>
      </c>
      <c r="E95" s="7">
        <v>1413.5417738712729</v>
      </c>
      <c r="F95" s="7">
        <v>1487.7821661828898</v>
      </c>
      <c r="G95" s="8">
        <v>1564.0847339963896</v>
      </c>
      <c r="H95" s="7">
        <v>1628.2203712620251</v>
      </c>
      <c r="I95" s="7">
        <v>1694.9859043881995</v>
      </c>
      <c r="J95" s="7">
        <v>1764.4891728309804</v>
      </c>
      <c r="K95" s="7">
        <v>1836.8424380269628</v>
      </c>
      <c r="L95" s="7">
        <v>1912.1625647175506</v>
      </c>
      <c r="M95" t="s">
        <v>65</v>
      </c>
    </row>
    <row r="96" spans="1:13" x14ac:dyDescent="0.25">
      <c r="A96" t="s">
        <v>67</v>
      </c>
      <c r="B96" s="7">
        <v>400.30597103101593</v>
      </c>
      <c r="C96" s="7">
        <v>413.07424646719068</v>
      </c>
      <c r="D96" s="7">
        <v>424.12063102913612</v>
      </c>
      <c r="E96" s="7">
        <v>430.38093412111544</v>
      </c>
      <c r="F96" s="7">
        <v>438.48129486554802</v>
      </c>
      <c r="G96" s="7">
        <v>446.659140156327</v>
      </c>
      <c r="H96" s="7">
        <v>447.45439348653258</v>
      </c>
      <c r="I96" s="7">
        <v>448.25106272386358</v>
      </c>
      <c r="J96" s="7">
        <v>449.04915038926896</v>
      </c>
      <c r="K96" s="7">
        <v>449.84865900818602</v>
      </c>
      <c r="L96" s="7">
        <v>450.64959111054833</v>
      </c>
      <c r="M96" t="s">
        <v>65</v>
      </c>
    </row>
    <row r="97" spans="1:12" x14ac:dyDescent="0.25">
      <c r="A97" s="1" t="s">
        <v>239</v>
      </c>
      <c r="B97" s="7">
        <v>56</v>
      </c>
      <c r="C97" s="7">
        <v>55</v>
      </c>
      <c r="D97" s="7">
        <v>53</v>
      </c>
      <c r="E97" s="7">
        <v>53</v>
      </c>
      <c r="F97" s="7">
        <v>51</v>
      </c>
      <c r="G97" s="7">
        <v>48</v>
      </c>
      <c r="H97" s="7">
        <v>48</v>
      </c>
      <c r="I97" s="7">
        <v>48</v>
      </c>
      <c r="J97" s="7">
        <v>46</v>
      </c>
      <c r="K97" s="7">
        <v>44</v>
      </c>
      <c r="L97" s="7">
        <v>42</v>
      </c>
    </row>
    <row r="98" spans="1:12" x14ac:dyDescent="0.25">
      <c r="C98" t="s">
        <v>238</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42"/>
  <sheetViews>
    <sheetView workbookViewId="0">
      <selection activeCell="A40" sqref="A40:F40"/>
    </sheetView>
  </sheetViews>
  <sheetFormatPr defaultColWidth="8.85546875" defaultRowHeight="15" x14ac:dyDescent="0.25"/>
  <cols>
    <col min="1" max="1" width="22.42578125" customWidth="1"/>
  </cols>
  <sheetData>
    <row r="1" spans="1:9" x14ac:dyDescent="0.25">
      <c r="A1" s="5" t="s">
        <v>66</v>
      </c>
      <c r="B1" s="3">
        <v>2010</v>
      </c>
      <c r="C1" s="3">
        <v>2015</v>
      </c>
      <c r="D1" s="3">
        <v>2020</v>
      </c>
      <c r="E1" s="3">
        <v>2025</v>
      </c>
      <c r="F1" s="3" t="s">
        <v>65</v>
      </c>
      <c r="H1" t="s">
        <v>64</v>
      </c>
      <c r="I1" t="s">
        <v>63</v>
      </c>
    </row>
    <row r="2" spans="1:9" x14ac:dyDescent="0.25">
      <c r="A2" t="s">
        <v>106</v>
      </c>
      <c r="B2">
        <v>5546</v>
      </c>
      <c r="C2">
        <v>6198</v>
      </c>
      <c r="D2">
        <v>6772</v>
      </c>
      <c r="E2">
        <v>7214</v>
      </c>
      <c r="F2" s="1" t="s">
        <v>3</v>
      </c>
    </row>
    <row r="3" spans="1:9" x14ac:dyDescent="0.25">
      <c r="A3" t="s">
        <v>105</v>
      </c>
      <c r="B3">
        <v>14707</v>
      </c>
      <c r="C3">
        <v>14317</v>
      </c>
      <c r="D3">
        <v>13839</v>
      </c>
      <c r="E3">
        <v>13167</v>
      </c>
      <c r="F3" s="1" t="s">
        <v>3</v>
      </c>
    </row>
    <row r="4" spans="1:9" x14ac:dyDescent="0.25">
      <c r="A4" s="4" t="s">
        <v>104</v>
      </c>
      <c r="B4">
        <v>1506</v>
      </c>
      <c r="C4">
        <v>1647</v>
      </c>
      <c r="D4">
        <v>1783</v>
      </c>
      <c r="E4">
        <v>1914</v>
      </c>
      <c r="F4" s="1" t="s">
        <v>3</v>
      </c>
    </row>
    <row r="5" spans="1:9" x14ac:dyDescent="0.25">
      <c r="A5" s="4" t="s">
        <v>103</v>
      </c>
      <c r="B5">
        <v>2955</v>
      </c>
      <c r="C5">
        <v>3369</v>
      </c>
      <c r="D5">
        <v>3795</v>
      </c>
      <c r="E5">
        <v>4137</v>
      </c>
      <c r="F5" s="1" t="s">
        <v>3</v>
      </c>
    </row>
    <row r="6" spans="1:9" x14ac:dyDescent="0.25">
      <c r="A6" t="s">
        <v>102</v>
      </c>
      <c r="B6">
        <v>1185</v>
      </c>
      <c r="C6">
        <v>1298</v>
      </c>
      <c r="D6">
        <v>1296</v>
      </c>
      <c r="E6">
        <v>1231</v>
      </c>
      <c r="F6" s="1" t="s">
        <v>3</v>
      </c>
    </row>
    <row r="7" spans="1:9" x14ac:dyDescent="0.25">
      <c r="A7" t="s">
        <v>101</v>
      </c>
      <c r="B7">
        <v>1492</v>
      </c>
      <c r="C7">
        <v>1483</v>
      </c>
      <c r="D7">
        <v>1452</v>
      </c>
      <c r="E7">
        <v>1370</v>
      </c>
      <c r="F7" s="1" t="s">
        <v>3</v>
      </c>
    </row>
    <row r="8" spans="1:9" x14ac:dyDescent="0.25">
      <c r="A8" t="s">
        <v>100</v>
      </c>
      <c r="B8">
        <v>651</v>
      </c>
      <c r="C8">
        <v>704</v>
      </c>
      <c r="D8">
        <v>746</v>
      </c>
      <c r="E8">
        <v>770</v>
      </c>
      <c r="F8" s="1" t="s">
        <v>3</v>
      </c>
    </row>
    <row r="9" spans="1:9" x14ac:dyDescent="0.25">
      <c r="A9" t="s">
        <v>99</v>
      </c>
      <c r="B9">
        <v>2006</v>
      </c>
      <c r="C9">
        <v>2190</v>
      </c>
      <c r="D9">
        <v>2367</v>
      </c>
      <c r="E9">
        <v>2552</v>
      </c>
      <c r="F9" s="1" t="s">
        <v>3</v>
      </c>
    </row>
    <row r="10" spans="1:9" x14ac:dyDescent="0.25">
      <c r="A10" t="s">
        <v>98</v>
      </c>
      <c r="B10">
        <v>122</v>
      </c>
      <c r="C10">
        <v>129</v>
      </c>
      <c r="D10">
        <v>134</v>
      </c>
      <c r="E10">
        <v>142</v>
      </c>
      <c r="F10" s="1" t="s">
        <v>3</v>
      </c>
    </row>
    <row r="11" spans="1:9" x14ac:dyDescent="0.25">
      <c r="A11" t="s">
        <v>97</v>
      </c>
      <c r="B11">
        <v>11848</v>
      </c>
      <c r="C11">
        <v>12822</v>
      </c>
      <c r="D11">
        <v>13721</v>
      </c>
      <c r="E11">
        <v>14446</v>
      </c>
      <c r="F11" s="1" t="s">
        <v>3</v>
      </c>
    </row>
    <row r="12" spans="1:9" x14ac:dyDescent="0.25">
      <c r="A12" t="s">
        <v>96</v>
      </c>
      <c r="B12">
        <v>861</v>
      </c>
      <c r="C12">
        <v>924</v>
      </c>
      <c r="D12">
        <v>939</v>
      </c>
      <c r="E12">
        <v>944</v>
      </c>
      <c r="F12" s="1" t="s">
        <v>3</v>
      </c>
    </row>
    <row r="13" spans="1:9" x14ac:dyDescent="0.25">
      <c r="A13" t="s">
        <v>95</v>
      </c>
      <c r="B13">
        <v>11932</v>
      </c>
      <c r="C13">
        <v>12111</v>
      </c>
      <c r="D13">
        <v>12258</v>
      </c>
      <c r="E13">
        <v>12307</v>
      </c>
      <c r="F13" s="1" t="s">
        <v>3</v>
      </c>
    </row>
    <row r="14" spans="1:9" x14ac:dyDescent="0.25">
      <c r="A14" t="s">
        <v>94</v>
      </c>
      <c r="B14">
        <v>287</v>
      </c>
      <c r="C14">
        <v>313</v>
      </c>
      <c r="D14">
        <v>336</v>
      </c>
      <c r="E14">
        <v>357</v>
      </c>
      <c r="F14" s="1" t="s">
        <v>3</v>
      </c>
    </row>
    <row r="16" spans="1:9" x14ac:dyDescent="0.25">
      <c r="A16" t="s">
        <v>92</v>
      </c>
      <c r="B16">
        <v>1658</v>
      </c>
      <c r="C16">
        <v>1798</v>
      </c>
      <c r="D16">
        <v>1932</v>
      </c>
      <c r="E16">
        <v>2056</v>
      </c>
      <c r="F16" s="1" t="s">
        <v>3</v>
      </c>
    </row>
    <row r="17" spans="1:6" x14ac:dyDescent="0.25">
      <c r="A17" t="s">
        <v>91</v>
      </c>
      <c r="B17">
        <v>240</v>
      </c>
      <c r="C17">
        <v>257</v>
      </c>
      <c r="D17">
        <v>277</v>
      </c>
      <c r="E17">
        <v>293</v>
      </c>
      <c r="F17" s="1" t="s">
        <v>3</v>
      </c>
    </row>
    <row r="18" spans="1:6" x14ac:dyDescent="0.25">
      <c r="A18" t="s">
        <v>90</v>
      </c>
      <c r="B18">
        <v>1237</v>
      </c>
      <c r="C18">
        <v>1240</v>
      </c>
      <c r="D18">
        <v>1232</v>
      </c>
      <c r="E18">
        <v>1210</v>
      </c>
      <c r="F18" s="1" t="s">
        <v>3</v>
      </c>
    </row>
    <row r="19" spans="1:6" x14ac:dyDescent="0.25">
      <c r="A19" t="s">
        <v>89</v>
      </c>
      <c r="B19">
        <v>6664</v>
      </c>
      <c r="C19">
        <v>7460</v>
      </c>
      <c r="D19">
        <v>7986</v>
      </c>
      <c r="E19">
        <v>8370</v>
      </c>
      <c r="F19" s="1" t="s">
        <v>3</v>
      </c>
    </row>
    <row r="20" spans="1:6" x14ac:dyDescent="0.25">
      <c r="A20" t="s">
        <v>88</v>
      </c>
      <c r="B20">
        <v>1704</v>
      </c>
      <c r="C20">
        <v>1700</v>
      </c>
      <c r="D20">
        <v>1759</v>
      </c>
      <c r="E20">
        <v>1788</v>
      </c>
      <c r="F20" s="1" t="s">
        <v>3</v>
      </c>
    </row>
    <row r="21" spans="1:6" x14ac:dyDescent="0.25">
      <c r="A21" t="s">
        <v>87</v>
      </c>
      <c r="B21">
        <v>595</v>
      </c>
      <c r="C21">
        <v>627</v>
      </c>
      <c r="D21">
        <v>628</v>
      </c>
      <c r="E21">
        <v>594</v>
      </c>
      <c r="F21" s="1" t="s">
        <v>3</v>
      </c>
    </row>
    <row r="22" spans="1:6" x14ac:dyDescent="0.25">
      <c r="A22" t="s">
        <v>86</v>
      </c>
      <c r="B22">
        <v>683</v>
      </c>
      <c r="C22">
        <v>668</v>
      </c>
      <c r="D22">
        <v>665</v>
      </c>
      <c r="E22">
        <v>645</v>
      </c>
      <c r="F22" s="1" t="s">
        <v>3</v>
      </c>
    </row>
    <row r="23" spans="1:6" x14ac:dyDescent="0.25">
      <c r="A23" t="s">
        <v>85</v>
      </c>
      <c r="B23">
        <v>681</v>
      </c>
      <c r="C23">
        <v>732</v>
      </c>
      <c r="D23">
        <v>785</v>
      </c>
      <c r="E23">
        <v>843</v>
      </c>
      <c r="F23" s="1" t="s">
        <v>3</v>
      </c>
    </row>
    <row r="24" spans="1:6" x14ac:dyDescent="0.25">
      <c r="A24" t="s">
        <v>84</v>
      </c>
      <c r="B24">
        <v>3305</v>
      </c>
      <c r="C24">
        <v>3670</v>
      </c>
      <c r="D24">
        <v>4081</v>
      </c>
      <c r="E24">
        <v>4467</v>
      </c>
      <c r="F24" s="1" t="s">
        <v>3</v>
      </c>
    </row>
    <row r="25" spans="1:6" x14ac:dyDescent="0.25">
      <c r="A25" t="s">
        <v>83</v>
      </c>
      <c r="B25">
        <v>2715</v>
      </c>
      <c r="C25">
        <v>3254</v>
      </c>
      <c r="D25">
        <v>3838</v>
      </c>
      <c r="E25">
        <v>4277</v>
      </c>
      <c r="F25" s="1" t="s">
        <v>3</v>
      </c>
    </row>
    <row r="26" spans="1:6" x14ac:dyDescent="0.25">
      <c r="A26" t="s">
        <v>82</v>
      </c>
      <c r="B26">
        <v>2912</v>
      </c>
      <c r="C26">
        <v>3248</v>
      </c>
      <c r="D26">
        <v>3601</v>
      </c>
      <c r="E26">
        <v>3906</v>
      </c>
      <c r="F26" s="1" t="s">
        <v>3</v>
      </c>
    </row>
    <row r="27" spans="1:6" x14ac:dyDescent="0.25">
      <c r="A27" t="s">
        <v>81</v>
      </c>
      <c r="B27">
        <v>513</v>
      </c>
      <c r="C27">
        <v>547</v>
      </c>
      <c r="D27">
        <v>576</v>
      </c>
      <c r="E27">
        <v>602</v>
      </c>
      <c r="F27" s="1" t="s">
        <v>3</v>
      </c>
    </row>
    <row r="28" spans="1:6" x14ac:dyDescent="0.25">
      <c r="A28" t="s">
        <v>80</v>
      </c>
      <c r="B28">
        <v>3876</v>
      </c>
      <c r="C28">
        <v>4073</v>
      </c>
      <c r="D28">
        <v>4358</v>
      </c>
      <c r="E28">
        <v>4695</v>
      </c>
      <c r="F28" s="1" t="s">
        <v>3</v>
      </c>
    </row>
    <row r="29" spans="1:6" x14ac:dyDescent="0.25">
      <c r="A29" t="s">
        <v>79</v>
      </c>
      <c r="B29">
        <v>3956</v>
      </c>
      <c r="C29">
        <v>3870</v>
      </c>
      <c r="D29">
        <v>3744</v>
      </c>
      <c r="E29">
        <v>3583</v>
      </c>
      <c r="F29" s="1" t="s">
        <v>3</v>
      </c>
    </row>
    <row r="30" spans="1:6" x14ac:dyDescent="0.25">
      <c r="A30" t="s">
        <v>78</v>
      </c>
      <c r="B30">
        <v>3506</v>
      </c>
      <c r="C30">
        <v>3498</v>
      </c>
      <c r="D30">
        <v>3515</v>
      </c>
      <c r="E30">
        <v>3485</v>
      </c>
      <c r="F30" s="1" t="s">
        <v>3</v>
      </c>
    </row>
    <row r="31" spans="1:6" x14ac:dyDescent="0.25">
      <c r="A31" t="s">
        <v>77</v>
      </c>
      <c r="B31">
        <v>3085</v>
      </c>
      <c r="C31">
        <v>3602</v>
      </c>
      <c r="D31">
        <v>4241</v>
      </c>
      <c r="E31">
        <v>4834</v>
      </c>
      <c r="F31" s="1" t="s">
        <v>3</v>
      </c>
    </row>
    <row r="32" spans="1:6" x14ac:dyDescent="0.25">
      <c r="A32" t="s">
        <v>76</v>
      </c>
      <c r="B32">
        <v>1831</v>
      </c>
      <c r="C32">
        <v>2128</v>
      </c>
      <c r="D32">
        <v>2251</v>
      </c>
      <c r="E32">
        <v>2276</v>
      </c>
      <c r="F32" s="1" t="s">
        <v>3</v>
      </c>
    </row>
    <row r="33" spans="1:6" x14ac:dyDescent="0.25">
      <c r="A33" t="s">
        <v>75</v>
      </c>
      <c r="B33">
        <v>970</v>
      </c>
      <c r="C33">
        <v>986</v>
      </c>
      <c r="D33">
        <v>1016</v>
      </c>
      <c r="E33">
        <v>1044</v>
      </c>
      <c r="F33" s="1" t="s">
        <v>3</v>
      </c>
    </row>
    <row r="34" spans="1:6" x14ac:dyDescent="0.25">
      <c r="A34" t="s">
        <v>74</v>
      </c>
      <c r="B34">
        <v>80</v>
      </c>
      <c r="C34">
        <v>84</v>
      </c>
      <c r="D34">
        <v>88</v>
      </c>
      <c r="E34">
        <v>92</v>
      </c>
      <c r="F34" s="1" t="s">
        <v>3</v>
      </c>
    </row>
    <row r="35" spans="1:6" x14ac:dyDescent="0.25">
      <c r="A35" t="s">
        <v>73</v>
      </c>
      <c r="B35">
        <v>1667</v>
      </c>
      <c r="C35">
        <v>1862</v>
      </c>
      <c r="D35">
        <v>2157</v>
      </c>
      <c r="E35">
        <v>2455</v>
      </c>
      <c r="F35" s="1" t="s">
        <v>3</v>
      </c>
    </row>
    <row r="36" spans="1:6" x14ac:dyDescent="0.25">
      <c r="A36" t="s">
        <v>72</v>
      </c>
      <c r="B36">
        <v>871</v>
      </c>
      <c r="C36">
        <v>925</v>
      </c>
      <c r="D36">
        <v>957</v>
      </c>
      <c r="E36">
        <v>941</v>
      </c>
      <c r="F36" s="1" t="s">
        <v>3</v>
      </c>
    </row>
    <row r="37" spans="1:6" x14ac:dyDescent="0.25">
      <c r="A37" t="s">
        <v>71</v>
      </c>
      <c r="B37">
        <v>8010</v>
      </c>
      <c r="C37">
        <v>9305</v>
      </c>
      <c r="D37">
        <v>10654</v>
      </c>
      <c r="E37">
        <v>11813</v>
      </c>
      <c r="F37" s="1" t="s">
        <v>3</v>
      </c>
    </row>
    <row r="38" spans="1:6" x14ac:dyDescent="0.25">
      <c r="A38" t="s">
        <v>70</v>
      </c>
      <c r="B38">
        <v>863</v>
      </c>
      <c r="C38">
        <v>903</v>
      </c>
      <c r="D38">
        <v>933</v>
      </c>
      <c r="E38">
        <v>953</v>
      </c>
      <c r="F38" s="1" t="s">
        <v>3</v>
      </c>
    </row>
    <row r="39" spans="1:6" x14ac:dyDescent="0.25">
      <c r="A39" t="s">
        <v>69</v>
      </c>
      <c r="B39">
        <v>6465</v>
      </c>
      <c r="C39">
        <v>7244</v>
      </c>
      <c r="D39">
        <v>8007</v>
      </c>
      <c r="E39">
        <v>8770</v>
      </c>
      <c r="F39" s="1" t="s">
        <v>3</v>
      </c>
    </row>
    <row r="41" spans="1:6" x14ac:dyDescent="0.25">
      <c r="A41" t="s">
        <v>67</v>
      </c>
      <c r="B41">
        <v>1692</v>
      </c>
      <c r="C41">
        <v>1808</v>
      </c>
      <c r="D41">
        <v>1921</v>
      </c>
      <c r="E41">
        <v>1876</v>
      </c>
      <c r="F41" s="1" t="s">
        <v>3</v>
      </c>
    </row>
    <row r="42" spans="1:6" x14ac:dyDescent="0.25">
      <c r="A42" t="s">
        <v>2</v>
      </c>
      <c r="B42">
        <f>SUM(B2:B41)</f>
        <v>114877</v>
      </c>
      <c r="C42">
        <f>SUM(C2:C41)</f>
        <v>122994</v>
      </c>
      <c r="D42">
        <f>SUM(D2:D41)</f>
        <v>130640</v>
      </c>
      <c r="E42">
        <f>SUM(E2:E41)</f>
        <v>136419</v>
      </c>
    </row>
  </sheetData>
  <autoFilter ref="A1:F42"/>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62"/>
  <sheetViews>
    <sheetView workbookViewId="0">
      <selection activeCell="G65" sqref="G65"/>
    </sheetView>
  </sheetViews>
  <sheetFormatPr defaultColWidth="8.85546875" defaultRowHeight="15" x14ac:dyDescent="0.25"/>
  <cols>
    <col min="1" max="1" width="21.42578125" bestFit="1" customWidth="1"/>
    <col min="2" max="2" width="10.42578125" customWidth="1"/>
    <col min="6" max="6" width="10.7109375" style="1" bestFit="1" customWidth="1"/>
    <col min="9" max="9" width="20.42578125" bestFit="1" customWidth="1"/>
  </cols>
  <sheetData>
    <row r="1" spans="1:13" x14ac:dyDescent="0.25">
      <c r="A1" s="1" t="s">
        <v>66</v>
      </c>
      <c r="B1" s="3">
        <v>2010</v>
      </c>
      <c r="C1" s="3">
        <v>2015</v>
      </c>
      <c r="D1" s="3">
        <v>2020</v>
      </c>
      <c r="E1" s="3">
        <v>2025</v>
      </c>
      <c r="F1" s="1" t="s">
        <v>65</v>
      </c>
      <c r="J1" t="s">
        <v>64</v>
      </c>
      <c r="K1" t="s">
        <v>63</v>
      </c>
    </row>
    <row r="2" spans="1:13" x14ac:dyDescent="0.25">
      <c r="A2" t="s">
        <v>62</v>
      </c>
      <c r="B2">
        <v>3378</v>
      </c>
      <c r="C2">
        <v>3608</v>
      </c>
      <c r="D2">
        <v>3839</v>
      </c>
      <c r="E2">
        <v>4021</v>
      </c>
      <c r="F2" s="1" t="s">
        <v>10</v>
      </c>
    </row>
    <row r="3" spans="1:13" x14ac:dyDescent="0.25">
      <c r="A3" t="s">
        <v>61</v>
      </c>
      <c r="B3">
        <v>226</v>
      </c>
      <c r="C3">
        <v>226</v>
      </c>
      <c r="D3">
        <v>203</v>
      </c>
      <c r="E3">
        <v>178</v>
      </c>
      <c r="F3" s="1" t="s">
        <v>10</v>
      </c>
    </row>
    <row r="4" spans="1:13" x14ac:dyDescent="0.25">
      <c r="A4" t="s">
        <v>60</v>
      </c>
      <c r="B4">
        <v>37</v>
      </c>
      <c r="C4">
        <v>38</v>
      </c>
      <c r="D4">
        <v>40</v>
      </c>
      <c r="E4">
        <v>40</v>
      </c>
      <c r="F4" s="1" t="s">
        <v>5</v>
      </c>
      <c r="I4" s="1"/>
      <c r="J4" s="1"/>
      <c r="K4" s="1"/>
      <c r="L4" s="1"/>
      <c r="M4" s="1"/>
    </row>
    <row r="5" spans="1:13" x14ac:dyDescent="0.25">
      <c r="A5" t="s">
        <v>59</v>
      </c>
      <c r="B5">
        <v>71</v>
      </c>
      <c r="C5">
        <v>71</v>
      </c>
      <c r="D5">
        <v>68</v>
      </c>
      <c r="E5">
        <v>64</v>
      </c>
      <c r="F5" s="1" t="s">
        <v>10</v>
      </c>
    </row>
    <row r="6" spans="1:13" x14ac:dyDescent="0.25">
      <c r="A6" t="s">
        <v>58</v>
      </c>
      <c r="B6">
        <v>1235</v>
      </c>
      <c r="C6">
        <v>1267</v>
      </c>
      <c r="D6">
        <v>1301</v>
      </c>
      <c r="E6">
        <v>1325</v>
      </c>
      <c r="F6" s="1" t="s">
        <v>10</v>
      </c>
    </row>
    <row r="7" spans="1:13" x14ac:dyDescent="0.25">
      <c r="A7" t="s">
        <v>57</v>
      </c>
      <c r="B7">
        <v>3055</v>
      </c>
      <c r="C7">
        <v>3237</v>
      </c>
      <c r="D7">
        <v>3360</v>
      </c>
      <c r="E7">
        <v>3456</v>
      </c>
      <c r="F7" s="1" t="s">
        <v>3</v>
      </c>
    </row>
    <row r="8" spans="1:13" x14ac:dyDescent="0.25">
      <c r="A8" t="s">
        <v>56</v>
      </c>
      <c r="B8">
        <v>51</v>
      </c>
      <c r="C8">
        <v>48</v>
      </c>
      <c r="D8">
        <v>46</v>
      </c>
      <c r="E8">
        <v>44</v>
      </c>
      <c r="F8" s="1" t="s">
        <v>5</v>
      </c>
    </row>
    <row r="9" spans="1:13" x14ac:dyDescent="0.25">
      <c r="A9" s="11" t="s">
        <v>55</v>
      </c>
      <c r="B9" s="11">
        <v>81596</v>
      </c>
      <c r="C9" s="11">
        <v>79100</v>
      </c>
      <c r="D9" s="11">
        <v>72895</v>
      </c>
      <c r="E9" s="11">
        <v>67499</v>
      </c>
      <c r="F9" s="1" t="s">
        <v>13</v>
      </c>
    </row>
    <row r="10" spans="1:13" x14ac:dyDescent="0.25">
      <c r="A10" t="s">
        <v>54</v>
      </c>
      <c r="B10">
        <v>623</v>
      </c>
      <c r="C10">
        <v>678</v>
      </c>
      <c r="D10">
        <v>715</v>
      </c>
      <c r="E10">
        <v>755</v>
      </c>
      <c r="F10" s="1" t="s">
        <v>10</v>
      </c>
    </row>
    <row r="11" spans="1:13" x14ac:dyDescent="0.25">
      <c r="A11" t="s">
        <v>53</v>
      </c>
      <c r="B11">
        <v>2969</v>
      </c>
      <c r="C11">
        <v>3154</v>
      </c>
      <c r="D11">
        <v>3361</v>
      </c>
      <c r="E11">
        <v>3533</v>
      </c>
      <c r="F11" s="1" t="s">
        <v>3</v>
      </c>
    </row>
    <row r="12" spans="1:13" x14ac:dyDescent="0.25">
      <c r="A12" t="s">
        <v>52</v>
      </c>
      <c r="B12">
        <v>113</v>
      </c>
      <c r="C12">
        <v>121</v>
      </c>
      <c r="D12">
        <v>127</v>
      </c>
      <c r="E12">
        <v>130</v>
      </c>
      <c r="F12" s="1" t="s">
        <v>3</v>
      </c>
    </row>
    <row r="13" spans="1:13" x14ac:dyDescent="0.25">
      <c r="A13" t="s">
        <v>51</v>
      </c>
      <c r="B13">
        <v>1470</v>
      </c>
      <c r="C13">
        <v>1449</v>
      </c>
      <c r="D13">
        <v>1418</v>
      </c>
      <c r="E13">
        <v>1377</v>
      </c>
      <c r="F13" s="1" t="s">
        <v>5</v>
      </c>
    </row>
    <row r="14" spans="1:13" x14ac:dyDescent="0.25">
      <c r="A14" t="s">
        <v>50</v>
      </c>
      <c r="B14">
        <v>9008</v>
      </c>
      <c r="C14">
        <v>9213</v>
      </c>
      <c r="D14">
        <v>9065</v>
      </c>
      <c r="E14">
        <v>8798</v>
      </c>
      <c r="F14" s="1" t="s">
        <v>5</v>
      </c>
    </row>
    <row r="15" spans="1:13" x14ac:dyDescent="0.25">
      <c r="A15" t="s">
        <v>49</v>
      </c>
      <c r="B15">
        <v>617</v>
      </c>
      <c r="C15">
        <v>613</v>
      </c>
      <c r="D15">
        <v>601</v>
      </c>
      <c r="E15">
        <v>568</v>
      </c>
      <c r="F15" s="1" t="s">
        <v>5</v>
      </c>
    </row>
    <row r="16" spans="1:13" x14ac:dyDescent="0.25">
      <c r="A16" t="s">
        <v>48</v>
      </c>
      <c r="B16">
        <v>256</v>
      </c>
      <c r="C16">
        <v>236</v>
      </c>
      <c r="D16">
        <v>207</v>
      </c>
      <c r="E16">
        <v>179</v>
      </c>
      <c r="F16" s="1" t="s">
        <v>5</v>
      </c>
    </row>
    <row r="17" spans="1:6" x14ac:dyDescent="0.25">
      <c r="A17" t="s">
        <v>93</v>
      </c>
      <c r="B17">
        <v>3533</v>
      </c>
      <c r="C17">
        <v>3716</v>
      </c>
      <c r="D17">
        <v>3868</v>
      </c>
      <c r="E17">
        <v>4009</v>
      </c>
      <c r="F17" s="1" t="s">
        <v>3</v>
      </c>
    </row>
    <row r="18" spans="1:6" x14ac:dyDescent="0.25">
      <c r="A18" t="s">
        <v>47</v>
      </c>
      <c r="B18">
        <v>2167</v>
      </c>
      <c r="C18">
        <v>2344</v>
      </c>
      <c r="D18">
        <v>2502</v>
      </c>
      <c r="E18">
        <v>2631</v>
      </c>
      <c r="F18" s="1" t="s">
        <v>5</v>
      </c>
    </row>
    <row r="19" spans="1:6" x14ac:dyDescent="0.25">
      <c r="A19" t="s">
        <v>46</v>
      </c>
      <c r="B19">
        <v>65</v>
      </c>
      <c r="C19">
        <v>61</v>
      </c>
      <c r="D19">
        <v>61</v>
      </c>
      <c r="E19">
        <v>62</v>
      </c>
      <c r="F19" s="1" t="s">
        <v>3</v>
      </c>
    </row>
    <row r="20" spans="1:6" x14ac:dyDescent="0.25">
      <c r="A20" t="s">
        <v>45</v>
      </c>
      <c r="B20">
        <v>966</v>
      </c>
      <c r="C20">
        <v>1000</v>
      </c>
      <c r="D20">
        <v>1014</v>
      </c>
      <c r="E20">
        <v>1008</v>
      </c>
      <c r="F20" s="1" t="s">
        <v>10</v>
      </c>
    </row>
    <row r="21" spans="1:6" x14ac:dyDescent="0.25">
      <c r="A21" s="11" t="s">
        <v>44</v>
      </c>
      <c r="B21" s="11">
        <v>127979</v>
      </c>
      <c r="C21" s="11">
        <v>127332</v>
      </c>
      <c r="D21" s="11">
        <v>125290</v>
      </c>
      <c r="E21" s="11">
        <v>122197</v>
      </c>
      <c r="F21" s="1" t="s">
        <v>3</v>
      </c>
    </row>
    <row r="22" spans="1:6" x14ac:dyDescent="0.25">
      <c r="A22" t="s">
        <v>43</v>
      </c>
      <c r="B22">
        <v>21579</v>
      </c>
      <c r="C22">
        <v>20736</v>
      </c>
      <c r="D22">
        <v>19717</v>
      </c>
      <c r="E22">
        <v>18815</v>
      </c>
      <c r="F22" s="1" t="s">
        <v>10</v>
      </c>
    </row>
    <row r="23" spans="1:6" x14ac:dyDescent="0.25">
      <c r="A23" t="s">
        <v>42</v>
      </c>
      <c r="B23">
        <v>5188</v>
      </c>
      <c r="C23">
        <v>5651</v>
      </c>
      <c r="D23">
        <v>6194</v>
      </c>
      <c r="E23">
        <v>6770</v>
      </c>
      <c r="F23" s="1" t="s">
        <v>5</v>
      </c>
    </row>
    <row r="24" spans="1:6" x14ac:dyDescent="0.25">
      <c r="A24" t="s">
        <v>41</v>
      </c>
      <c r="B24">
        <v>816</v>
      </c>
      <c r="C24">
        <v>744</v>
      </c>
      <c r="D24">
        <v>750</v>
      </c>
      <c r="E24">
        <v>740</v>
      </c>
      <c r="F24" s="1" t="s">
        <v>5</v>
      </c>
    </row>
    <row r="25" spans="1:6" x14ac:dyDescent="0.25">
      <c r="A25" t="s">
        <v>40</v>
      </c>
      <c r="B25">
        <v>0</v>
      </c>
      <c r="C25">
        <v>0</v>
      </c>
      <c r="D25">
        <v>0</v>
      </c>
      <c r="E25">
        <v>0</v>
      </c>
      <c r="F25" s="1" t="s">
        <v>10</v>
      </c>
    </row>
    <row r="26" spans="1:6" x14ac:dyDescent="0.25">
      <c r="A26" t="s">
        <v>39</v>
      </c>
      <c r="B26">
        <v>0</v>
      </c>
      <c r="C26">
        <v>0</v>
      </c>
      <c r="D26">
        <v>0</v>
      </c>
      <c r="E26">
        <v>0</v>
      </c>
      <c r="F26" s="1" t="s">
        <v>5</v>
      </c>
    </row>
    <row r="27" spans="1:6" x14ac:dyDescent="0.25">
      <c r="A27" t="s">
        <v>38</v>
      </c>
      <c r="B27">
        <v>274</v>
      </c>
      <c r="C27">
        <v>281</v>
      </c>
      <c r="D27">
        <v>281</v>
      </c>
      <c r="E27">
        <v>274</v>
      </c>
      <c r="F27" s="1" t="s">
        <v>3</v>
      </c>
    </row>
    <row r="28" spans="1:6" x14ac:dyDescent="0.25">
      <c r="A28" t="s">
        <v>37</v>
      </c>
      <c r="B28">
        <v>26</v>
      </c>
      <c r="C28">
        <v>27</v>
      </c>
      <c r="D28">
        <v>25</v>
      </c>
      <c r="E28">
        <v>22</v>
      </c>
      <c r="F28" s="1" t="s">
        <v>5</v>
      </c>
    </row>
    <row r="29" spans="1:6" x14ac:dyDescent="0.25">
      <c r="A29" t="s">
        <v>36</v>
      </c>
      <c r="B29">
        <v>0</v>
      </c>
      <c r="C29">
        <v>0</v>
      </c>
      <c r="D29">
        <v>0</v>
      </c>
      <c r="E29">
        <v>0</v>
      </c>
      <c r="F29" s="1" t="s">
        <v>5</v>
      </c>
    </row>
    <row r="30" spans="1:6" x14ac:dyDescent="0.25">
      <c r="A30" t="s">
        <v>35</v>
      </c>
      <c r="B30">
        <v>13</v>
      </c>
      <c r="C30">
        <v>13</v>
      </c>
      <c r="D30">
        <v>13</v>
      </c>
      <c r="E30">
        <v>13</v>
      </c>
      <c r="F30" s="1" t="s">
        <v>5</v>
      </c>
    </row>
    <row r="31" spans="1:6" x14ac:dyDescent="0.25">
      <c r="A31" t="s">
        <v>34</v>
      </c>
      <c r="B31">
        <v>215</v>
      </c>
      <c r="C31">
        <v>205</v>
      </c>
      <c r="D31">
        <v>184</v>
      </c>
      <c r="E31">
        <v>159</v>
      </c>
      <c r="F31" s="1" t="s">
        <v>5</v>
      </c>
    </row>
    <row r="32" spans="1:6" x14ac:dyDescent="0.25">
      <c r="A32" t="s">
        <v>33</v>
      </c>
      <c r="B32">
        <v>297</v>
      </c>
      <c r="C32">
        <v>313</v>
      </c>
      <c r="D32">
        <v>311</v>
      </c>
      <c r="E32">
        <v>292</v>
      </c>
      <c r="F32" s="1" t="s">
        <v>10</v>
      </c>
    </row>
    <row r="33" spans="1:6" x14ac:dyDescent="0.25">
      <c r="A33" t="s">
        <v>32</v>
      </c>
      <c r="B33">
        <v>3022</v>
      </c>
      <c r="C33">
        <v>2966</v>
      </c>
      <c r="D33">
        <v>2871</v>
      </c>
      <c r="E33">
        <v>2711</v>
      </c>
      <c r="F33" s="1" t="s">
        <v>5</v>
      </c>
    </row>
    <row r="34" spans="1:6" x14ac:dyDescent="0.25">
      <c r="A34" t="s">
        <v>31</v>
      </c>
      <c r="B34">
        <v>678</v>
      </c>
      <c r="C34">
        <v>668</v>
      </c>
      <c r="D34">
        <v>647</v>
      </c>
      <c r="E34">
        <v>617</v>
      </c>
      <c r="F34" s="1" t="s">
        <v>3</v>
      </c>
    </row>
    <row r="35" spans="1:6" x14ac:dyDescent="0.25">
      <c r="A35" t="s">
        <v>30</v>
      </c>
      <c r="B35">
        <v>26569</v>
      </c>
      <c r="C35">
        <v>29669</v>
      </c>
      <c r="D35">
        <v>32762</v>
      </c>
      <c r="E35">
        <v>35130</v>
      </c>
      <c r="F35" s="1" t="s">
        <v>3</v>
      </c>
    </row>
    <row r="36" spans="1:6" x14ac:dyDescent="0.25">
      <c r="A36" t="s">
        <v>29</v>
      </c>
      <c r="B36">
        <v>21418</v>
      </c>
      <c r="C36">
        <v>22096</v>
      </c>
      <c r="D36">
        <v>22238</v>
      </c>
      <c r="E36">
        <v>21803</v>
      </c>
      <c r="F36" s="1" t="s">
        <v>3</v>
      </c>
    </row>
    <row r="37" spans="1:6" x14ac:dyDescent="0.25">
      <c r="A37" t="s">
        <v>28</v>
      </c>
      <c r="B37">
        <v>962</v>
      </c>
      <c r="C37">
        <v>999</v>
      </c>
      <c r="D37">
        <v>1046</v>
      </c>
      <c r="E37">
        <v>1097</v>
      </c>
      <c r="F37" s="1" t="s">
        <v>3</v>
      </c>
    </row>
    <row r="38" spans="1:6" x14ac:dyDescent="0.25">
      <c r="A38" t="s">
        <v>27</v>
      </c>
      <c r="B38">
        <v>740</v>
      </c>
      <c r="C38">
        <v>774</v>
      </c>
      <c r="D38">
        <v>791</v>
      </c>
      <c r="E38">
        <v>792</v>
      </c>
      <c r="F38" s="1" t="s">
        <v>5</v>
      </c>
    </row>
    <row r="39" spans="1:6" x14ac:dyDescent="0.25">
      <c r="A39" t="s">
        <v>26</v>
      </c>
      <c r="B39">
        <v>11254</v>
      </c>
      <c r="C39">
        <v>11614</v>
      </c>
      <c r="D39">
        <v>11954</v>
      </c>
      <c r="E39">
        <v>12232</v>
      </c>
      <c r="F39" s="1" t="s">
        <v>5</v>
      </c>
    </row>
    <row r="40" spans="1:6" x14ac:dyDescent="0.25">
      <c r="A40" t="s">
        <v>25</v>
      </c>
      <c r="B40">
        <v>22</v>
      </c>
      <c r="C40">
        <v>21</v>
      </c>
      <c r="D40">
        <v>21</v>
      </c>
      <c r="E40">
        <v>21</v>
      </c>
      <c r="F40" s="1" t="s">
        <v>5</v>
      </c>
    </row>
    <row r="41" spans="1:6" x14ac:dyDescent="0.25">
      <c r="A41" t="s">
        <v>24</v>
      </c>
      <c r="B41">
        <v>23</v>
      </c>
      <c r="C41">
        <v>24</v>
      </c>
      <c r="D41">
        <v>25</v>
      </c>
      <c r="E41">
        <v>25</v>
      </c>
      <c r="F41" s="1" t="s">
        <v>3</v>
      </c>
    </row>
    <row r="42" spans="1:6" x14ac:dyDescent="0.25">
      <c r="A42" t="s">
        <v>23</v>
      </c>
      <c r="B42">
        <v>2081</v>
      </c>
      <c r="C42">
        <v>2229</v>
      </c>
      <c r="D42">
        <v>2362</v>
      </c>
      <c r="E42">
        <v>2488</v>
      </c>
      <c r="F42" s="1" t="s">
        <v>3</v>
      </c>
    </row>
    <row r="43" spans="1:6" x14ac:dyDescent="0.25">
      <c r="A43" t="s">
        <v>22</v>
      </c>
      <c r="B43">
        <v>1893</v>
      </c>
      <c r="C43">
        <v>1780</v>
      </c>
      <c r="D43">
        <v>1632</v>
      </c>
      <c r="E43">
        <v>1514</v>
      </c>
      <c r="F43" s="1" t="s">
        <v>10</v>
      </c>
    </row>
    <row r="44" spans="1:6" x14ac:dyDescent="0.25">
      <c r="A44" t="s">
        <v>21</v>
      </c>
      <c r="B44">
        <v>6391</v>
      </c>
      <c r="C44">
        <v>6868</v>
      </c>
      <c r="D44">
        <v>7300</v>
      </c>
      <c r="E44">
        <v>7653</v>
      </c>
      <c r="F44" s="1" t="s">
        <v>3</v>
      </c>
    </row>
    <row r="45" spans="1:6" x14ac:dyDescent="0.25">
      <c r="A45" t="s">
        <v>20</v>
      </c>
      <c r="B45">
        <v>157</v>
      </c>
      <c r="C45">
        <v>163</v>
      </c>
      <c r="D45">
        <v>163</v>
      </c>
      <c r="E45">
        <v>159</v>
      </c>
      <c r="F45" s="1" t="s">
        <v>5</v>
      </c>
    </row>
    <row r="46" spans="1:6" x14ac:dyDescent="0.25">
      <c r="A46" t="s">
        <v>19</v>
      </c>
      <c r="B46">
        <v>2494</v>
      </c>
      <c r="C46">
        <v>2293</v>
      </c>
      <c r="D46">
        <v>2364</v>
      </c>
      <c r="E46">
        <v>2426</v>
      </c>
      <c r="F46" s="1" t="s">
        <v>5</v>
      </c>
    </row>
    <row r="47" spans="1:6" x14ac:dyDescent="0.25">
      <c r="A47" t="s">
        <v>18</v>
      </c>
      <c r="B47">
        <v>4361</v>
      </c>
      <c r="C47">
        <v>4027</v>
      </c>
      <c r="D47">
        <v>3744</v>
      </c>
      <c r="E47">
        <v>3591</v>
      </c>
      <c r="F47" s="1" t="s">
        <v>5</v>
      </c>
    </row>
    <row r="48" spans="1:6" x14ac:dyDescent="0.25">
      <c r="A48" t="s">
        <v>17</v>
      </c>
      <c r="B48">
        <v>193</v>
      </c>
      <c r="C48">
        <v>213</v>
      </c>
      <c r="D48">
        <v>248</v>
      </c>
      <c r="E48">
        <v>275</v>
      </c>
      <c r="F48" s="1" t="s">
        <v>10</v>
      </c>
    </row>
    <row r="49" spans="1:6" x14ac:dyDescent="0.25">
      <c r="A49" t="s">
        <v>16</v>
      </c>
      <c r="B49">
        <v>14</v>
      </c>
      <c r="C49">
        <v>13</v>
      </c>
      <c r="D49">
        <v>12</v>
      </c>
      <c r="E49">
        <v>12</v>
      </c>
      <c r="F49" s="1" t="s">
        <v>5</v>
      </c>
    </row>
    <row r="50" spans="1:6" x14ac:dyDescent="0.25">
      <c r="A50" t="s">
        <v>15</v>
      </c>
      <c r="B50">
        <v>868</v>
      </c>
      <c r="C50">
        <v>871</v>
      </c>
      <c r="D50">
        <v>841</v>
      </c>
      <c r="E50">
        <v>778</v>
      </c>
      <c r="F50" s="1" t="s">
        <v>5</v>
      </c>
    </row>
    <row r="51" spans="1:6" x14ac:dyDescent="0.25">
      <c r="A51" t="s">
        <v>14</v>
      </c>
      <c r="B51">
        <v>506</v>
      </c>
      <c r="C51">
        <v>519</v>
      </c>
      <c r="D51">
        <v>514</v>
      </c>
      <c r="E51">
        <v>485</v>
      </c>
      <c r="F51" s="1" t="s">
        <v>13</v>
      </c>
    </row>
    <row r="52" spans="1:6" x14ac:dyDescent="0.25">
      <c r="A52" t="s">
        <v>12</v>
      </c>
      <c r="B52">
        <v>0</v>
      </c>
      <c r="C52">
        <v>0</v>
      </c>
      <c r="D52">
        <v>0</v>
      </c>
      <c r="E52">
        <v>0</v>
      </c>
      <c r="F52" s="1" t="s">
        <v>5</v>
      </c>
    </row>
    <row r="53" spans="1:6" x14ac:dyDescent="0.25">
      <c r="A53" t="s">
        <v>11</v>
      </c>
      <c r="B53">
        <v>2376</v>
      </c>
      <c r="C53">
        <v>2412</v>
      </c>
      <c r="D53">
        <v>2288</v>
      </c>
      <c r="E53">
        <v>2074</v>
      </c>
      <c r="F53" s="1" t="s">
        <v>10</v>
      </c>
    </row>
    <row r="54" spans="1:6" x14ac:dyDescent="0.25">
      <c r="A54" t="s">
        <v>9</v>
      </c>
      <c r="B54">
        <v>2738</v>
      </c>
      <c r="C54">
        <v>2783</v>
      </c>
      <c r="D54">
        <v>2751</v>
      </c>
      <c r="E54">
        <v>2583</v>
      </c>
      <c r="F54" s="1" t="s">
        <v>3</v>
      </c>
    </row>
    <row r="55" spans="1:6" x14ac:dyDescent="0.25">
      <c r="A55" t="s">
        <v>8</v>
      </c>
      <c r="B55">
        <v>33</v>
      </c>
      <c r="C55">
        <v>36</v>
      </c>
      <c r="D55">
        <v>38</v>
      </c>
      <c r="E55">
        <v>40</v>
      </c>
      <c r="F55" s="1" t="s">
        <v>5</v>
      </c>
    </row>
    <row r="56" spans="1:6" x14ac:dyDescent="0.25">
      <c r="A56" t="s">
        <v>7</v>
      </c>
      <c r="B56">
        <v>7186</v>
      </c>
      <c r="C56">
        <v>7022</v>
      </c>
      <c r="D56">
        <v>6526</v>
      </c>
      <c r="E56">
        <v>5841</v>
      </c>
      <c r="F56" s="1" t="s">
        <v>3</v>
      </c>
    </row>
    <row r="57" spans="1:6" x14ac:dyDescent="0.25">
      <c r="A57" t="s">
        <v>6</v>
      </c>
      <c r="B57">
        <v>0</v>
      </c>
      <c r="C57">
        <v>0</v>
      </c>
      <c r="D57">
        <v>0</v>
      </c>
      <c r="E57">
        <v>0</v>
      </c>
      <c r="F57" s="1" t="s">
        <v>5</v>
      </c>
    </row>
    <row r="58" spans="1:6" x14ac:dyDescent="0.25">
      <c r="A58" t="s">
        <v>4</v>
      </c>
      <c r="B58">
        <v>4057</v>
      </c>
      <c r="C58">
        <v>4603</v>
      </c>
      <c r="D58">
        <v>4926</v>
      </c>
      <c r="E58">
        <v>5183</v>
      </c>
      <c r="F58" s="1" t="s">
        <v>3</v>
      </c>
    </row>
    <row r="59" spans="1:6" x14ac:dyDescent="0.25">
      <c r="A59" t="s">
        <v>68</v>
      </c>
      <c r="B59">
        <v>2412</v>
      </c>
      <c r="C59">
        <v>2966</v>
      </c>
      <c r="D59">
        <v>3492</v>
      </c>
      <c r="E59">
        <v>3921</v>
      </c>
      <c r="F59" s="1" t="s">
        <v>3</v>
      </c>
    </row>
    <row r="60" spans="1:6" x14ac:dyDescent="0.25">
      <c r="A60" s="1" t="s">
        <v>2</v>
      </c>
      <c r="B60">
        <f>SUM(B2:B59)</f>
        <v>370271</v>
      </c>
      <c r="C60">
        <f>SUM(C2:C59)</f>
        <v>373111</v>
      </c>
      <c r="D60" s="110">
        <f t="shared" ref="D60:E60" si="0">SUM(D2:D59)</f>
        <v>369012</v>
      </c>
      <c r="E60" s="110">
        <f t="shared" si="0"/>
        <v>362410</v>
      </c>
    </row>
    <row r="61" spans="1:6" x14ac:dyDescent="0.25">
      <c r="A61" s="1" t="s">
        <v>1</v>
      </c>
      <c r="B61">
        <f>SUM(B9,B21)</f>
        <v>209575</v>
      </c>
      <c r="C61">
        <f>SUM(C9,C21)</f>
        <v>206432</v>
      </c>
      <c r="D61">
        <f>SUM(D9,D21)</f>
        <v>198185</v>
      </c>
      <c r="E61">
        <f>SUM(E9,E21)</f>
        <v>189696</v>
      </c>
    </row>
    <row r="62" spans="1:6" x14ac:dyDescent="0.25">
      <c r="A62" s="1" t="s">
        <v>0</v>
      </c>
      <c r="B62">
        <f>B60-B61</f>
        <v>160696</v>
      </c>
      <c r="C62">
        <f>C60-C61</f>
        <v>166679</v>
      </c>
      <c r="D62">
        <f>D60-D61</f>
        <v>170827</v>
      </c>
      <c r="E62">
        <f>E60-E61</f>
        <v>172714</v>
      </c>
    </row>
  </sheetData>
  <autoFilter ref="A1:F62"/>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D5"/>
  <sheetViews>
    <sheetView workbookViewId="0">
      <selection activeCell="A33" sqref="A33"/>
    </sheetView>
  </sheetViews>
  <sheetFormatPr defaultColWidth="8.85546875" defaultRowHeight="15" x14ac:dyDescent="0.25"/>
  <cols>
    <col min="1" max="1" width="20.42578125" bestFit="1" customWidth="1"/>
  </cols>
  <sheetData>
    <row r="2" spans="1:4" x14ac:dyDescent="0.25">
      <c r="A2" s="1" t="s">
        <v>313</v>
      </c>
      <c r="B2" s="1">
        <v>2010</v>
      </c>
      <c r="C2" s="1">
        <v>2015</v>
      </c>
      <c r="D2" s="1">
        <v>2020</v>
      </c>
    </row>
    <row r="3" spans="1:4" x14ac:dyDescent="0.25">
      <c r="A3" t="s">
        <v>312</v>
      </c>
      <c r="B3">
        <v>32837</v>
      </c>
      <c r="C3">
        <v>32304</v>
      </c>
      <c r="D3">
        <v>31336</v>
      </c>
    </row>
    <row r="4" spans="1:4" x14ac:dyDescent="0.25">
      <c r="A4" t="s">
        <v>311</v>
      </c>
      <c r="B4">
        <v>206558</v>
      </c>
      <c r="C4">
        <v>211147</v>
      </c>
      <c r="D4">
        <v>213063</v>
      </c>
    </row>
    <row r="5" spans="1:4" x14ac:dyDescent="0.25">
      <c r="A5" t="s">
        <v>310</v>
      </c>
      <c r="B5">
        <v>124931</v>
      </c>
      <c r="C5">
        <v>122978</v>
      </c>
      <c r="D5">
        <v>117253</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50"/>
  <sheetViews>
    <sheetView topLeftCell="A16" workbookViewId="0">
      <selection activeCell="D25" sqref="D25"/>
    </sheetView>
  </sheetViews>
  <sheetFormatPr defaultColWidth="8.85546875" defaultRowHeight="15" x14ac:dyDescent="0.25"/>
  <cols>
    <col min="1" max="1" width="28.85546875" bestFit="1" customWidth="1"/>
    <col min="6" max="6" width="8.85546875" style="1"/>
  </cols>
  <sheetData>
    <row r="1" spans="1:9" x14ac:dyDescent="0.25">
      <c r="A1" s="5" t="s">
        <v>66</v>
      </c>
      <c r="B1" s="3">
        <v>2010</v>
      </c>
      <c r="C1" s="3">
        <v>2015</v>
      </c>
      <c r="D1" s="3">
        <v>2020</v>
      </c>
      <c r="E1" s="3">
        <v>2025</v>
      </c>
      <c r="F1" s="3" t="s">
        <v>65</v>
      </c>
      <c r="H1" t="s">
        <v>64</v>
      </c>
      <c r="I1" t="s">
        <v>63</v>
      </c>
    </row>
    <row r="2" spans="1:9" x14ac:dyDescent="0.25">
      <c r="A2" t="s">
        <v>232</v>
      </c>
      <c r="B2">
        <v>208</v>
      </c>
      <c r="C2">
        <v>202</v>
      </c>
      <c r="D2">
        <v>194</v>
      </c>
      <c r="E2">
        <v>180</v>
      </c>
      <c r="F2" s="1" t="s">
        <v>13</v>
      </c>
    </row>
    <row r="3" spans="1:9" x14ac:dyDescent="0.25">
      <c r="A3" t="s">
        <v>231</v>
      </c>
      <c r="B3">
        <v>3447</v>
      </c>
      <c r="C3">
        <v>3423</v>
      </c>
      <c r="D3">
        <v>3251</v>
      </c>
      <c r="E3">
        <v>2947</v>
      </c>
      <c r="F3" s="1" t="s">
        <v>5</v>
      </c>
    </row>
    <row r="4" spans="1:9" x14ac:dyDescent="0.25">
      <c r="A4" t="s">
        <v>326</v>
      </c>
      <c r="B4">
        <v>0</v>
      </c>
      <c r="C4">
        <v>0</v>
      </c>
      <c r="D4">
        <v>0</v>
      </c>
      <c r="E4">
        <v>0</v>
      </c>
      <c r="F4" s="1" t="s">
        <v>5</v>
      </c>
    </row>
    <row r="5" spans="1:9" x14ac:dyDescent="0.25">
      <c r="A5" t="s">
        <v>325</v>
      </c>
      <c r="B5">
        <v>0</v>
      </c>
      <c r="C5">
        <v>0</v>
      </c>
      <c r="D5">
        <v>0</v>
      </c>
      <c r="E5">
        <v>0</v>
      </c>
      <c r="F5" s="1" t="s">
        <v>5</v>
      </c>
    </row>
    <row r="6" spans="1:9" x14ac:dyDescent="0.25">
      <c r="A6" t="s">
        <v>228</v>
      </c>
      <c r="B6">
        <v>3386</v>
      </c>
      <c r="C6">
        <v>3405</v>
      </c>
      <c r="D6">
        <v>3351</v>
      </c>
      <c r="E6">
        <v>3264</v>
      </c>
      <c r="F6" s="1" t="s">
        <v>5</v>
      </c>
    </row>
    <row r="7" spans="1:9" x14ac:dyDescent="0.25">
      <c r="A7" t="s">
        <v>224</v>
      </c>
      <c r="B7">
        <v>795</v>
      </c>
      <c r="C7">
        <v>885</v>
      </c>
      <c r="D7">
        <v>827</v>
      </c>
      <c r="E7">
        <v>708</v>
      </c>
      <c r="F7" s="1" t="s">
        <v>10</v>
      </c>
    </row>
    <row r="8" spans="1:9" x14ac:dyDescent="0.25">
      <c r="A8" t="s">
        <v>220</v>
      </c>
      <c r="B8">
        <v>515</v>
      </c>
      <c r="C8">
        <v>527</v>
      </c>
      <c r="D8">
        <v>503</v>
      </c>
      <c r="E8">
        <v>458</v>
      </c>
      <c r="F8" s="1" t="s">
        <v>5</v>
      </c>
    </row>
    <row r="9" spans="1:9" x14ac:dyDescent="0.25">
      <c r="A9" t="s">
        <v>216</v>
      </c>
      <c r="B9">
        <v>165</v>
      </c>
      <c r="C9">
        <v>152</v>
      </c>
      <c r="D9">
        <v>141</v>
      </c>
      <c r="E9">
        <v>138</v>
      </c>
      <c r="F9" s="1" t="s">
        <v>13</v>
      </c>
    </row>
    <row r="10" spans="1:9" x14ac:dyDescent="0.25">
      <c r="A10" t="s">
        <v>215</v>
      </c>
      <c r="B10">
        <v>225</v>
      </c>
      <c r="C10">
        <v>227</v>
      </c>
      <c r="D10">
        <v>223</v>
      </c>
      <c r="E10">
        <v>214</v>
      </c>
      <c r="F10" s="1" t="s">
        <v>5</v>
      </c>
    </row>
    <row r="11" spans="1:9" x14ac:dyDescent="0.25">
      <c r="A11" t="s">
        <v>213</v>
      </c>
      <c r="B11">
        <v>15156</v>
      </c>
      <c r="C11">
        <v>14575</v>
      </c>
      <c r="D11">
        <v>13980</v>
      </c>
      <c r="E11">
        <v>13350</v>
      </c>
      <c r="F11" s="1" t="s">
        <v>5</v>
      </c>
    </row>
    <row r="12" spans="1:9" x14ac:dyDescent="0.25">
      <c r="A12" t="s">
        <v>211</v>
      </c>
      <c r="B12">
        <v>373</v>
      </c>
      <c r="C12">
        <v>362</v>
      </c>
      <c r="D12">
        <v>336</v>
      </c>
      <c r="E12">
        <v>304</v>
      </c>
      <c r="F12" s="1" t="s">
        <v>5</v>
      </c>
    </row>
    <row r="13" spans="1:9" x14ac:dyDescent="0.25">
      <c r="A13" t="s">
        <v>209</v>
      </c>
      <c r="B13">
        <v>1219</v>
      </c>
      <c r="C13">
        <v>1218</v>
      </c>
      <c r="D13">
        <v>1197</v>
      </c>
      <c r="E13">
        <v>1157</v>
      </c>
      <c r="F13" s="1" t="s">
        <v>5</v>
      </c>
    </row>
    <row r="14" spans="1:9" x14ac:dyDescent="0.25">
      <c r="A14" t="s">
        <v>208</v>
      </c>
      <c r="B14">
        <v>4498</v>
      </c>
      <c r="C14">
        <v>4427</v>
      </c>
      <c r="D14">
        <v>4321</v>
      </c>
      <c r="E14">
        <v>4190</v>
      </c>
      <c r="F14" s="1" t="s">
        <v>5</v>
      </c>
    </row>
    <row r="15" spans="1:9" x14ac:dyDescent="0.25">
      <c r="A15" t="s">
        <v>205</v>
      </c>
      <c r="B15">
        <v>363</v>
      </c>
      <c r="C15">
        <v>366</v>
      </c>
      <c r="D15">
        <v>356</v>
      </c>
      <c r="E15">
        <v>339</v>
      </c>
      <c r="F15" s="1" t="s">
        <v>5</v>
      </c>
    </row>
    <row r="16" spans="1:9" x14ac:dyDescent="0.25">
      <c r="A16" t="s">
        <v>202</v>
      </c>
      <c r="B16">
        <v>569</v>
      </c>
      <c r="C16">
        <v>523</v>
      </c>
      <c r="D16">
        <v>495</v>
      </c>
      <c r="E16">
        <v>482</v>
      </c>
      <c r="F16" s="1" t="s">
        <v>10</v>
      </c>
    </row>
    <row r="17" spans="1:6" x14ac:dyDescent="0.25">
      <c r="A17" t="s">
        <v>196</v>
      </c>
      <c r="B17">
        <v>0</v>
      </c>
      <c r="C17">
        <v>0</v>
      </c>
      <c r="D17">
        <v>0</v>
      </c>
      <c r="E17">
        <v>0</v>
      </c>
      <c r="F17" s="1" t="s">
        <v>5</v>
      </c>
    </row>
    <row r="18" spans="1:6" x14ac:dyDescent="0.25">
      <c r="A18" t="s">
        <v>324</v>
      </c>
      <c r="B18">
        <v>1054</v>
      </c>
      <c r="C18">
        <v>1042</v>
      </c>
      <c r="D18">
        <v>1014</v>
      </c>
      <c r="E18">
        <v>982</v>
      </c>
      <c r="F18" s="1" t="s">
        <v>5</v>
      </c>
    </row>
    <row r="19" spans="1:6" x14ac:dyDescent="0.25">
      <c r="A19" t="s">
        <v>191</v>
      </c>
      <c r="B19">
        <v>90</v>
      </c>
      <c r="C19">
        <v>88</v>
      </c>
      <c r="D19">
        <v>83</v>
      </c>
      <c r="E19">
        <v>78</v>
      </c>
      <c r="F19" s="1" t="s">
        <v>5</v>
      </c>
    </row>
    <row r="20" spans="1:6" x14ac:dyDescent="0.25">
      <c r="A20" t="s">
        <v>188</v>
      </c>
      <c r="B20">
        <v>185</v>
      </c>
      <c r="C20">
        <v>203</v>
      </c>
      <c r="D20">
        <v>217</v>
      </c>
      <c r="E20">
        <v>224</v>
      </c>
      <c r="F20" s="1" t="s">
        <v>5</v>
      </c>
    </row>
    <row r="21" spans="1:6" x14ac:dyDescent="0.25">
      <c r="A21" t="s">
        <v>184</v>
      </c>
      <c r="B21">
        <v>10</v>
      </c>
      <c r="C21">
        <v>10</v>
      </c>
      <c r="D21">
        <v>9</v>
      </c>
      <c r="E21">
        <v>8</v>
      </c>
      <c r="F21" s="1" t="s">
        <v>5</v>
      </c>
    </row>
    <row r="22" spans="1:6" x14ac:dyDescent="0.25">
      <c r="A22" t="s">
        <v>323</v>
      </c>
      <c r="B22">
        <v>6149</v>
      </c>
      <c r="C22">
        <v>5956</v>
      </c>
      <c r="D22">
        <v>5263</v>
      </c>
      <c r="E22">
        <v>4417</v>
      </c>
      <c r="F22" s="1" t="s">
        <v>5</v>
      </c>
    </row>
    <row r="23" spans="1:6" x14ac:dyDescent="0.25">
      <c r="A23" t="s">
        <v>322</v>
      </c>
      <c r="B23">
        <v>247</v>
      </c>
      <c r="C23">
        <v>236</v>
      </c>
      <c r="D23">
        <v>229</v>
      </c>
      <c r="E23">
        <v>217</v>
      </c>
      <c r="F23" s="1" t="s">
        <v>5</v>
      </c>
    </row>
    <row r="24" spans="1:6" x14ac:dyDescent="0.25">
      <c r="A24" t="s">
        <v>174</v>
      </c>
      <c r="B24">
        <v>1641</v>
      </c>
      <c r="C24">
        <v>1652</v>
      </c>
      <c r="D24">
        <v>1600</v>
      </c>
      <c r="E24">
        <v>1487</v>
      </c>
      <c r="F24" s="1" t="s">
        <v>5</v>
      </c>
    </row>
    <row r="25" spans="1:6" x14ac:dyDescent="0.25">
      <c r="A25" t="s">
        <v>169</v>
      </c>
      <c r="B25">
        <v>322</v>
      </c>
      <c r="C25">
        <v>314</v>
      </c>
      <c r="D25">
        <v>302</v>
      </c>
      <c r="E25">
        <v>289</v>
      </c>
      <c r="F25" s="1" t="s">
        <v>5</v>
      </c>
    </row>
    <row r="26" spans="1:6" x14ac:dyDescent="0.25">
      <c r="A26" t="s">
        <v>321</v>
      </c>
      <c r="B26">
        <v>716</v>
      </c>
      <c r="C26">
        <v>693</v>
      </c>
      <c r="D26">
        <v>625</v>
      </c>
      <c r="E26">
        <v>550</v>
      </c>
      <c r="F26" s="1" t="s">
        <v>5</v>
      </c>
    </row>
    <row r="27" spans="1:6" x14ac:dyDescent="0.25">
      <c r="A27" t="s">
        <v>167</v>
      </c>
      <c r="B27">
        <v>166</v>
      </c>
      <c r="C27">
        <v>176</v>
      </c>
      <c r="D27">
        <v>179</v>
      </c>
      <c r="E27">
        <v>172</v>
      </c>
      <c r="F27" s="1" t="s">
        <v>5</v>
      </c>
    </row>
    <row r="28" spans="1:6" x14ac:dyDescent="0.25">
      <c r="A28" t="s">
        <v>320</v>
      </c>
      <c r="B28">
        <v>112</v>
      </c>
      <c r="C28">
        <v>107</v>
      </c>
      <c r="D28">
        <v>101</v>
      </c>
      <c r="E28">
        <v>96</v>
      </c>
      <c r="F28" s="1" t="s">
        <v>5</v>
      </c>
    </row>
    <row r="29" spans="1:6" x14ac:dyDescent="0.25">
      <c r="A29" t="s">
        <v>165</v>
      </c>
      <c r="B29">
        <v>2828</v>
      </c>
      <c r="C29">
        <v>2898</v>
      </c>
      <c r="D29">
        <v>2954</v>
      </c>
      <c r="E29">
        <v>3001</v>
      </c>
      <c r="F29" s="1" t="s">
        <v>5</v>
      </c>
    </row>
    <row r="30" spans="1:6" x14ac:dyDescent="0.25">
      <c r="A30" t="s">
        <v>163</v>
      </c>
      <c r="B30">
        <v>84</v>
      </c>
      <c r="C30">
        <v>81</v>
      </c>
      <c r="D30">
        <v>79</v>
      </c>
      <c r="E30">
        <v>77</v>
      </c>
      <c r="F30" s="1" t="s">
        <v>5</v>
      </c>
    </row>
    <row r="31" spans="1:6" x14ac:dyDescent="0.25">
      <c r="A31" t="s">
        <v>319</v>
      </c>
      <c r="B31">
        <v>43</v>
      </c>
      <c r="C31">
        <v>36</v>
      </c>
      <c r="D31">
        <v>36</v>
      </c>
      <c r="E31">
        <v>38</v>
      </c>
      <c r="F31" s="1" t="s">
        <v>5</v>
      </c>
    </row>
    <row r="32" spans="1:6" x14ac:dyDescent="0.25">
      <c r="A32" t="s">
        <v>162</v>
      </c>
      <c r="B32">
        <v>11095</v>
      </c>
      <c r="C32">
        <v>10596</v>
      </c>
      <c r="D32">
        <v>10096</v>
      </c>
      <c r="E32">
        <v>9615</v>
      </c>
      <c r="F32" s="1" t="s">
        <v>5</v>
      </c>
    </row>
    <row r="33" spans="1:6" x14ac:dyDescent="0.25">
      <c r="A33" t="s">
        <v>159</v>
      </c>
      <c r="B33">
        <v>39</v>
      </c>
      <c r="C33">
        <v>37</v>
      </c>
      <c r="D33">
        <v>35</v>
      </c>
      <c r="E33">
        <v>34</v>
      </c>
      <c r="F33" s="1" t="s">
        <v>5</v>
      </c>
    </row>
    <row r="34" spans="1:6" x14ac:dyDescent="0.25">
      <c r="A34" t="s">
        <v>158</v>
      </c>
      <c r="B34">
        <v>286</v>
      </c>
      <c r="C34">
        <v>291</v>
      </c>
      <c r="D34">
        <v>296</v>
      </c>
      <c r="E34">
        <v>298</v>
      </c>
      <c r="F34" s="1" t="s">
        <v>5</v>
      </c>
    </row>
    <row r="35" spans="1:6" x14ac:dyDescent="0.25">
      <c r="A35" t="s">
        <v>150</v>
      </c>
      <c r="B35">
        <v>0</v>
      </c>
      <c r="C35">
        <v>0</v>
      </c>
      <c r="D35">
        <v>0</v>
      </c>
      <c r="E35">
        <v>0</v>
      </c>
      <c r="F35" s="1" t="s">
        <v>5</v>
      </c>
    </row>
    <row r="36" spans="1:6" x14ac:dyDescent="0.25">
      <c r="A36" t="s">
        <v>149</v>
      </c>
      <c r="B36">
        <v>345</v>
      </c>
      <c r="C36">
        <v>342</v>
      </c>
      <c r="D36">
        <v>341</v>
      </c>
      <c r="E36">
        <v>341</v>
      </c>
      <c r="F36" s="1" t="s">
        <v>5</v>
      </c>
    </row>
    <row r="37" spans="1:6" x14ac:dyDescent="0.25">
      <c r="A37" t="s">
        <v>318</v>
      </c>
      <c r="B37">
        <v>2909</v>
      </c>
      <c r="C37">
        <v>2845</v>
      </c>
      <c r="D37">
        <v>2787</v>
      </c>
      <c r="E37">
        <v>2722</v>
      </c>
      <c r="F37" s="1" t="s">
        <v>5</v>
      </c>
    </row>
    <row r="38" spans="1:6" x14ac:dyDescent="0.25">
      <c r="A38" t="s">
        <v>142</v>
      </c>
      <c r="B38">
        <v>1079</v>
      </c>
      <c r="C38">
        <v>1083</v>
      </c>
      <c r="D38">
        <v>1041</v>
      </c>
      <c r="E38">
        <v>969</v>
      </c>
      <c r="F38" s="1" t="s">
        <v>5</v>
      </c>
    </row>
    <row r="39" spans="1:6" x14ac:dyDescent="0.25">
      <c r="A39" t="s">
        <v>141</v>
      </c>
      <c r="B39">
        <v>8117</v>
      </c>
      <c r="C39">
        <v>8361</v>
      </c>
      <c r="D39">
        <v>7902</v>
      </c>
      <c r="E39">
        <v>7115</v>
      </c>
      <c r="F39" s="1" t="s">
        <v>5</v>
      </c>
    </row>
    <row r="40" spans="1:6" x14ac:dyDescent="0.25">
      <c r="A40" t="s">
        <v>135</v>
      </c>
      <c r="B40">
        <v>565</v>
      </c>
      <c r="C40">
        <v>533</v>
      </c>
      <c r="D40">
        <v>497</v>
      </c>
      <c r="E40">
        <v>470</v>
      </c>
      <c r="F40" s="1" t="s">
        <v>5</v>
      </c>
    </row>
    <row r="41" spans="1:6" x14ac:dyDescent="0.25">
      <c r="A41" t="s">
        <v>134</v>
      </c>
      <c r="B41">
        <v>0</v>
      </c>
      <c r="C41">
        <v>0</v>
      </c>
      <c r="D41">
        <v>0</v>
      </c>
      <c r="E41">
        <v>0</v>
      </c>
      <c r="F41" s="1" t="s">
        <v>5</v>
      </c>
    </row>
    <row r="42" spans="1:6" x14ac:dyDescent="0.25">
      <c r="A42" t="s">
        <v>129</v>
      </c>
      <c r="B42">
        <v>5041</v>
      </c>
      <c r="C42">
        <v>4933</v>
      </c>
      <c r="D42">
        <v>4770</v>
      </c>
      <c r="E42">
        <v>4632</v>
      </c>
      <c r="F42" s="1" t="s">
        <v>5</v>
      </c>
    </row>
    <row r="43" spans="1:6" x14ac:dyDescent="0.25">
      <c r="A43" t="s">
        <v>317</v>
      </c>
      <c r="B43">
        <v>0</v>
      </c>
      <c r="C43">
        <v>0</v>
      </c>
      <c r="D43">
        <v>0</v>
      </c>
      <c r="E43">
        <v>0</v>
      </c>
      <c r="F43" s="1" t="s">
        <v>5</v>
      </c>
    </row>
    <row r="44" spans="1:6" x14ac:dyDescent="0.25">
      <c r="A44" t="s">
        <v>316</v>
      </c>
      <c r="B44">
        <v>15</v>
      </c>
      <c r="C44">
        <v>15</v>
      </c>
      <c r="D44">
        <v>14</v>
      </c>
      <c r="E44">
        <v>13</v>
      </c>
      <c r="F44" s="1" t="s">
        <v>5</v>
      </c>
    </row>
    <row r="45" spans="1:6" x14ac:dyDescent="0.25">
      <c r="A45" t="s">
        <v>315</v>
      </c>
      <c r="B45">
        <v>9</v>
      </c>
      <c r="C45">
        <v>9</v>
      </c>
      <c r="D45">
        <v>8</v>
      </c>
      <c r="E45">
        <v>7</v>
      </c>
      <c r="F45" s="1" t="s">
        <v>5</v>
      </c>
    </row>
    <row r="46" spans="1:6" x14ac:dyDescent="0.25">
      <c r="A46" t="s">
        <v>127</v>
      </c>
      <c r="B46">
        <v>48</v>
      </c>
      <c r="C46">
        <v>46</v>
      </c>
      <c r="D46">
        <v>45</v>
      </c>
      <c r="E46">
        <v>44</v>
      </c>
      <c r="F46" s="1" t="s">
        <v>5</v>
      </c>
    </row>
    <row r="47" spans="1:6" x14ac:dyDescent="0.25">
      <c r="A47" t="s">
        <v>122</v>
      </c>
      <c r="B47">
        <v>6413</v>
      </c>
      <c r="C47">
        <v>6211</v>
      </c>
      <c r="D47">
        <v>5944</v>
      </c>
      <c r="E47">
        <v>5663</v>
      </c>
      <c r="F47" s="1" t="s">
        <v>5</v>
      </c>
    </row>
    <row r="48" spans="1:6" x14ac:dyDescent="0.25">
      <c r="A48" t="s">
        <v>116</v>
      </c>
      <c r="B48">
        <v>246</v>
      </c>
      <c r="C48">
        <v>241</v>
      </c>
      <c r="D48">
        <v>237</v>
      </c>
      <c r="E48">
        <v>231</v>
      </c>
      <c r="F48" s="1" t="s">
        <v>5</v>
      </c>
    </row>
    <row r="49" spans="1:6" x14ac:dyDescent="0.25">
      <c r="A49" t="s">
        <v>314</v>
      </c>
      <c r="B49">
        <v>2926</v>
      </c>
      <c r="C49">
        <v>2938</v>
      </c>
      <c r="D49">
        <v>2901</v>
      </c>
      <c r="E49">
        <v>2847</v>
      </c>
      <c r="F49" s="1" t="s">
        <v>5</v>
      </c>
    </row>
    <row r="50" spans="1:6" x14ac:dyDescent="0.25">
      <c r="A50" s="1" t="s">
        <v>2</v>
      </c>
      <c r="B50">
        <f>SUM(B2:B49)</f>
        <v>83699</v>
      </c>
      <c r="C50">
        <f>SUM(C2:C49)</f>
        <v>82265</v>
      </c>
      <c r="D50">
        <f>SUM(D2:D49)</f>
        <v>78780</v>
      </c>
      <c r="E50">
        <f>SUM(E2:E49)</f>
        <v>74368</v>
      </c>
    </row>
  </sheetData>
  <autoFilter ref="A1:F50"/>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E4"/>
  <sheetViews>
    <sheetView topLeftCell="A7" workbookViewId="0">
      <selection activeCell="D25" sqref="D25"/>
    </sheetView>
  </sheetViews>
  <sheetFormatPr defaultColWidth="8.85546875" defaultRowHeight="15" x14ac:dyDescent="0.25"/>
  <cols>
    <col min="1" max="1" width="16.42578125" bestFit="1" customWidth="1"/>
  </cols>
  <sheetData>
    <row r="2" spans="1:5" x14ac:dyDescent="0.25">
      <c r="A2" s="1" t="s">
        <v>313</v>
      </c>
      <c r="B2" s="1">
        <v>2010</v>
      </c>
      <c r="C2" s="1">
        <v>2015</v>
      </c>
      <c r="D2" s="1">
        <v>2020</v>
      </c>
      <c r="E2" s="1">
        <v>2025</v>
      </c>
    </row>
    <row r="3" spans="1:5" x14ac:dyDescent="0.25">
      <c r="A3" t="s">
        <v>328</v>
      </c>
      <c r="B3">
        <v>1364</v>
      </c>
      <c r="C3">
        <v>1408</v>
      </c>
      <c r="D3">
        <v>1322</v>
      </c>
      <c r="E3">
        <v>1190</v>
      </c>
    </row>
    <row r="4" spans="1:5" x14ac:dyDescent="0.25">
      <c r="A4" t="s">
        <v>327</v>
      </c>
      <c r="B4">
        <v>82335</v>
      </c>
      <c r="C4">
        <v>80857</v>
      </c>
      <c r="D4">
        <v>77458</v>
      </c>
      <c r="E4">
        <v>73178</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18"/>
  <sheetViews>
    <sheetView workbookViewId="0">
      <selection activeCell="D13" sqref="D13"/>
    </sheetView>
  </sheetViews>
  <sheetFormatPr defaultColWidth="8.85546875" defaultRowHeight="15" x14ac:dyDescent="0.25"/>
  <cols>
    <col min="1" max="1" width="11.42578125" bestFit="1" customWidth="1"/>
  </cols>
  <sheetData>
    <row r="1" spans="1:6" x14ac:dyDescent="0.25">
      <c r="A1" s="1"/>
      <c r="B1" s="6">
        <v>2010</v>
      </c>
      <c r="C1" s="6">
        <v>2015</v>
      </c>
      <c r="D1" s="6">
        <v>2020</v>
      </c>
      <c r="E1" t="s">
        <v>64</v>
      </c>
      <c r="F1" t="s">
        <v>63</v>
      </c>
    </row>
    <row r="2" spans="1:6" x14ac:dyDescent="0.25">
      <c r="A2" t="s">
        <v>62</v>
      </c>
      <c r="B2">
        <v>3378</v>
      </c>
      <c r="C2">
        <v>3608</v>
      </c>
      <c r="D2">
        <v>3839</v>
      </c>
    </row>
    <row r="3" spans="1:6" x14ac:dyDescent="0.25">
      <c r="A3" t="s">
        <v>61</v>
      </c>
      <c r="B3">
        <v>226</v>
      </c>
      <c r="C3">
        <v>226</v>
      </c>
      <c r="D3">
        <v>203</v>
      </c>
    </row>
    <row r="4" spans="1:6" x14ac:dyDescent="0.25">
      <c r="A4" t="s">
        <v>224</v>
      </c>
      <c r="B4">
        <v>795</v>
      </c>
      <c r="C4">
        <v>885</v>
      </c>
      <c r="D4">
        <v>827</v>
      </c>
    </row>
    <row r="5" spans="1:6" x14ac:dyDescent="0.25">
      <c r="A5" t="s">
        <v>59</v>
      </c>
      <c r="B5">
        <v>71</v>
      </c>
      <c r="C5">
        <v>71</v>
      </c>
      <c r="D5">
        <v>68</v>
      </c>
    </row>
    <row r="6" spans="1:6" x14ac:dyDescent="0.25">
      <c r="A6" t="s">
        <v>58</v>
      </c>
      <c r="B6">
        <v>1235</v>
      </c>
      <c r="C6">
        <v>1267</v>
      </c>
      <c r="D6">
        <v>1301</v>
      </c>
    </row>
    <row r="7" spans="1:6" x14ac:dyDescent="0.25">
      <c r="A7" t="s">
        <v>329</v>
      </c>
      <c r="B7">
        <v>623</v>
      </c>
      <c r="C7">
        <v>678</v>
      </c>
      <c r="D7">
        <v>715</v>
      </c>
    </row>
    <row r="8" spans="1:6" x14ac:dyDescent="0.25">
      <c r="A8" t="s">
        <v>202</v>
      </c>
      <c r="B8">
        <v>569</v>
      </c>
      <c r="C8">
        <v>523</v>
      </c>
      <c r="D8">
        <v>495</v>
      </c>
    </row>
    <row r="9" spans="1:6" x14ac:dyDescent="0.25">
      <c r="A9" t="s">
        <v>48</v>
      </c>
      <c r="B9">
        <v>256</v>
      </c>
      <c r="C9">
        <v>236</v>
      </c>
      <c r="D9">
        <v>207</v>
      </c>
    </row>
    <row r="10" spans="1:6" x14ac:dyDescent="0.25">
      <c r="A10" t="s">
        <v>45</v>
      </c>
      <c r="B10">
        <v>966</v>
      </c>
      <c r="C10">
        <v>1000</v>
      </c>
      <c r="D10">
        <v>1014</v>
      </c>
    </row>
    <row r="11" spans="1:6" x14ac:dyDescent="0.25">
      <c r="A11" t="s">
        <v>43</v>
      </c>
      <c r="B11">
        <v>21579</v>
      </c>
      <c r="C11">
        <v>20736</v>
      </c>
      <c r="D11">
        <v>19717</v>
      </c>
    </row>
    <row r="12" spans="1:6" x14ac:dyDescent="0.25">
      <c r="A12" t="s">
        <v>40</v>
      </c>
      <c r="B12" t="s">
        <v>246</v>
      </c>
      <c r="C12" t="s">
        <v>246</v>
      </c>
      <c r="D12" t="s">
        <v>246</v>
      </c>
    </row>
    <row r="13" spans="1:6" x14ac:dyDescent="0.25">
      <c r="A13" t="s">
        <v>34</v>
      </c>
      <c r="B13">
        <v>215</v>
      </c>
      <c r="C13">
        <v>205</v>
      </c>
      <c r="D13">
        <v>184</v>
      </c>
    </row>
    <row r="14" spans="1:6" x14ac:dyDescent="0.25">
      <c r="A14" t="s">
        <v>33</v>
      </c>
      <c r="B14">
        <v>297</v>
      </c>
      <c r="C14">
        <v>313</v>
      </c>
      <c r="D14">
        <v>311</v>
      </c>
    </row>
    <row r="15" spans="1:6" x14ac:dyDescent="0.25">
      <c r="A15" t="s">
        <v>22</v>
      </c>
      <c r="B15">
        <v>1893</v>
      </c>
      <c r="C15">
        <v>1780</v>
      </c>
      <c r="D15">
        <v>1632</v>
      </c>
    </row>
    <row r="16" spans="1:6" x14ac:dyDescent="0.25">
      <c r="A16" t="s">
        <v>17</v>
      </c>
      <c r="B16">
        <v>193</v>
      </c>
      <c r="C16">
        <v>213</v>
      </c>
      <c r="D16">
        <v>248</v>
      </c>
    </row>
    <row r="17" spans="1:4" x14ac:dyDescent="0.25">
      <c r="A17" t="s">
        <v>11</v>
      </c>
      <c r="B17">
        <v>2376</v>
      </c>
      <c r="C17">
        <v>2412</v>
      </c>
      <c r="D17">
        <v>2288</v>
      </c>
    </row>
    <row r="18" spans="1:4" x14ac:dyDescent="0.25">
      <c r="A18" t="s">
        <v>2</v>
      </c>
      <c r="B18">
        <f>SUM(B2:B17)</f>
        <v>34672</v>
      </c>
      <c r="C18">
        <f>SUM(C2:C17)</f>
        <v>34153</v>
      </c>
      <c r="D18">
        <f>SUM(D2:D17)</f>
        <v>33049</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J128"/>
  <sheetViews>
    <sheetView workbookViewId="0">
      <selection activeCell="D25" sqref="D25"/>
    </sheetView>
  </sheetViews>
  <sheetFormatPr defaultColWidth="8.85546875" defaultRowHeight="15" x14ac:dyDescent="0.25"/>
  <cols>
    <col min="2" max="2" width="22.28515625" customWidth="1"/>
    <col min="3" max="3" width="20.7109375" bestFit="1" customWidth="1"/>
    <col min="4" max="4" width="37.140625" customWidth="1"/>
    <col min="5" max="5" width="32.140625" customWidth="1"/>
    <col min="6" max="6" width="47.7109375" customWidth="1"/>
    <col min="7" max="7" width="98.42578125" bestFit="1" customWidth="1"/>
    <col min="8" max="8" width="34.85546875" customWidth="1"/>
    <col min="9" max="9" width="20.85546875" bestFit="1" customWidth="1"/>
  </cols>
  <sheetData>
    <row r="1" spans="2:10" x14ac:dyDescent="0.25">
      <c r="B1" t="s">
        <v>343</v>
      </c>
    </row>
    <row r="3" spans="2:10" x14ac:dyDescent="0.25">
      <c r="B3" s="1" t="s">
        <v>66</v>
      </c>
      <c r="C3" s="1" t="s">
        <v>337</v>
      </c>
      <c r="D3" s="15" t="s">
        <v>342</v>
      </c>
      <c r="E3" s="15" t="s">
        <v>341</v>
      </c>
      <c r="F3" s="1" t="s">
        <v>340</v>
      </c>
      <c r="G3" s="1" t="s">
        <v>339</v>
      </c>
      <c r="H3" s="1" t="s">
        <v>338</v>
      </c>
      <c r="I3" s="1" t="s">
        <v>337</v>
      </c>
    </row>
    <row r="4" spans="2:10" x14ac:dyDescent="0.25">
      <c r="B4" s="1"/>
      <c r="J4" s="1" t="s">
        <v>336</v>
      </c>
    </row>
    <row r="5" spans="2:10" x14ac:dyDescent="0.25">
      <c r="B5" t="s">
        <v>106</v>
      </c>
      <c r="C5">
        <v>5.6015639999999998E-2</v>
      </c>
      <c r="D5" s="14">
        <v>15</v>
      </c>
      <c r="E5" s="12">
        <v>-1.5589717173994861</v>
      </c>
      <c r="F5">
        <v>1.11111E-2</v>
      </c>
      <c r="G5">
        <v>2.4500000000000001E-2</v>
      </c>
      <c r="H5">
        <v>128.32629395000001</v>
      </c>
      <c r="I5">
        <v>9.0804800000000005E-2</v>
      </c>
      <c r="J5">
        <f t="shared" ref="J5:J36" si="0">C5*D5*E5*F5*G5*H5*I5</f>
        <v>-4.1551470370009115E-3</v>
      </c>
    </row>
    <row r="6" spans="2:10" x14ac:dyDescent="0.25">
      <c r="B6" t="s">
        <v>232</v>
      </c>
      <c r="C6">
        <v>0.16824201999999999</v>
      </c>
      <c r="D6" s="14">
        <v>238</v>
      </c>
      <c r="E6" s="12">
        <v>-0.20361300677339661</v>
      </c>
      <c r="F6">
        <v>0.85624999999999996</v>
      </c>
      <c r="G6">
        <v>0.83437501999999997</v>
      </c>
      <c r="H6">
        <v>16.528501510000002</v>
      </c>
      <c r="I6">
        <v>0.27273069999999999</v>
      </c>
      <c r="J6">
        <f t="shared" si="0"/>
        <v>-26.257074431420037</v>
      </c>
    </row>
    <row r="7" spans="2:10" x14ac:dyDescent="0.25">
      <c r="B7" t="s">
        <v>228</v>
      </c>
      <c r="C7">
        <v>0.1217839</v>
      </c>
      <c r="D7" s="13">
        <v>469</v>
      </c>
      <c r="E7" s="12">
        <v>-0.59072953993017174</v>
      </c>
      <c r="F7">
        <v>1</v>
      </c>
      <c r="G7">
        <v>0.99987501000000001</v>
      </c>
      <c r="H7">
        <v>15.866979600000001</v>
      </c>
      <c r="I7">
        <v>0.19741929999999999</v>
      </c>
      <c r="J7">
        <f t="shared" si="0"/>
        <v>-105.67712615823721</v>
      </c>
    </row>
    <row r="8" spans="2:10" x14ac:dyDescent="0.25">
      <c r="B8" t="s">
        <v>61</v>
      </c>
      <c r="C8">
        <v>0.15146204999999999</v>
      </c>
      <c r="D8" s="13">
        <v>921</v>
      </c>
      <c r="E8" s="12">
        <v>-0.4205606763596243</v>
      </c>
      <c r="F8">
        <v>0.29362500000000002</v>
      </c>
      <c r="G8">
        <v>0.39175000999999998</v>
      </c>
      <c r="H8">
        <v>14.394668579999999</v>
      </c>
      <c r="I8">
        <v>0.24552940000000001</v>
      </c>
      <c r="J8">
        <f t="shared" si="0"/>
        <v>-23.850601819670203</v>
      </c>
    </row>
    <row r="9" spans="2:10" x14ac:dyDescent="0.25">
      <c r="B9" t="s">
        <v>227</v>
      </c>
      <c r="C9">
        <v>0.23905436999999999</v>
      </c>
      <c r="D9" s="13">
        <v>105</v>
      </c>
      <c r="E9" s="12">
        <v>6.9395149341860904E-2</v>
      </c>
      <c r="F9">
        <v>1</v>
      </c>
      <c r="G9">
        <v>1</v>
      </c>
      <c r="I9">
        <v>0.38752189999999997</v>
      </c>
      <c r="J9">
        <f t="shared" si="0"/>
        <v>0</v>
      </c>
    </row>
    <row r="10" spans="2:10" x14ac:dyDescent="0.25">
      <c r="B10" t="s">
        <v>226</v>
      </c>
      <c r="C10">
        <v>0.20388730999999999</v>
      </c>
      <c r="D10" s="13">
        <v>2371</v>
      </c>
      <c r="E10" s="12">
        <v>1.7438830385632627</v>
      </c>
      <c r="F10">
        <v>0.89777779999999996</v>
      </c>
      <c r="G10">
        <v>0.90888888000000001</v>
      </c>
      <c r="I10">
        <v>0.33051399999999997</v>
      </c>
      <c r="J10">
        <f t="shared" si="0"/>
        <v>0</v>
      </c>
    </row>
    <row r="11" spans="2:10" x14ac:dyDescent="0.25">
      <c r="B11" t="s">
        <v>224</v>
      </c>
      <c r="C11">
        <v>0.16742915</v>
      </c>
      <c r="D11" s="13">
        <v>3160</v>
      </c>
      <c r="E11" s="12">
        <v>1.63428878684006</v>
      </c>
      <c r="F11">
        <v>0.76285709999999995</v>
      </c>
      <c r="G11">
        <v>0.69499999000000001</v>
      </c>
      <c r="H11">
        <v>6.6073994599999999</v>
      </c>
      <c r="I11">
        <v>0.27141300000000002</v>
      </c>
      <c r="J11">
        <f t="shared" si="0"/>
        <v>822.1217838189018</v>
      </c>
    </row>
    <row r="12" spans="2:10" x14ac:dyDescent="0.25">
      <c r="B12" t="s">
        <v>104</v>
      </c>
      <c r="C12">
        <v>0.15993518000000001</v>
      </c>
      <c r="D12" s="13">
        <v>132</v>
      </c>
      <c r="E12" s="12">
        <v>-0.63364340333856428</v>
      </c>
      <c r="F12">
        <v>0.45600000000000002</v>
      </c>
      <c r="G12">
        <v>0.43688886999999998</v>
      </c>
      <c r="H12">
        <v>37.822906490000001</v>
      </c>
      <c r="I12">
        <v>0.25926480000000002</v>
      </c>
      <c r="J12">
        <f t="shared" si="0"/>
        <v>-26.133473208795809</v>
      </c>
    </row>
    <row r="13" spans="2:10" x14ac:dyDescent="0.25">
      <c r="B13" t="s">
        <v>103</v>
      </c>
      <c r="C13">
        <v>0.11834359</v>
      </c>
      <c r="D13" s="13">
        <v>735</v>
      </c>
      <c r="E13" s="12">
        <v>1.0604534908293328</v>
      </c>
      <c r="F13">
        <v>0.50641000000000003</v>
      </c>
      <c r="G13">
        <v>0.51398997999999996</v>
      </c>
      <c r="H13">
        <v>52.330474850000002</v>
      </c>
      <c r="I13">
        <v>0.19184229999999999</v>
      </c>
      <c r="J13">
        <f t="shared" si="0"/>
        <v>241.03476070692565</v>
      </c>
    </row>
    <row r="14" spans="2:10" x14ac:dyDescent="0.25">
      <c r="B14" t="s">
        <v>105</v>
      </c>
      <c r="C14">
        <v>8.1484529999999999E-2</v>
      </c>
      <c r="D14" s="13">
        <v>1069</v>
      </c>
      <c r="E14" s="12">
        <v>0.62430065119644984</v>
      </c>
      <c r="F14">
        <v>0.72899999999999998</v>
      </c>
      <c r="G14">
        <v>0.76400000000000001</v>
      </c>
      <c r="H14">
        <v>124.70140839</v>
      </c>
      <c r="I14">
        <v>0.1320915</v>
      </c>
      <c r="J14">
        <f t="shared" si="0"/>
        <v>498.90031179473687</v>
      </c>
    </row>
    <row r="15" spans="2:10" x14ac:dyDescent="0.25">
      <c r="B15" t="s">
        <v>211</v>
      </c>
      <c r="C15">
        <v>0.20234783000000001</v>
      </c>
      <c r="D15" s="13">
        <v>15</v>
      </c>
      <c r="E15" s="12">
        <v>-0.98570667861647177</v>
      </c>
      <c r="F15">
        <v>1</v>
      </c>
      <c r="G15">
        <v>1</v>
      </c>
      <c r="I15">
        <v>0.32801839999999999</v>
      </c>
      <c r="J15">
        <f t="shared" si="0"/>
        <v>0</v>
      </c>
    </row>
    <row r="16" spans="2:10" x14ac:dyDescent="0.25">
      <c r="B16" t="s">
        <v>222</v>
      </c>
      <c r="C16">
        <v>3.0181980000000001E-2</v>
      </c>
      <c r="D16" s="13">
        <v>936</v>
      </c>
      <c r="E16" s="12">
        <v>1.4808340725356968</v>
      </c>
      <c r="F16">
        <v>1</v>
      </c>
      <c r="G16">
        <v>1</v>
      </c>
      <c r="I16">
        <v>4.8926900000000002E-2</v>
      </c>
      <c r="J16">
        <f t="shared" si="0"/>
        <v>0</v>
      </c>
    </row>
    <row r="17" spans="2:10" x14ac:dyDescent="0.25">
      <c r="B17" t="s">
        <v>335</v>
      </c>
      <c r="C17">
        <v>0.15006476999999999</v>
      </c>
      <c r="D17" s="13">
        <v>515</v>
      </c>
      <c r="E17" s="12">
        <v>-1.0994856755897442</v>
      </c>
      <c r="F17">
        <v>1</v>
      </c>
      <c r="G17">
        <v>1</v>
      </c>
      <c r="I17">
        <v>0.24326429999999999</v>
      </c>
      <c r="J17">
        <f t="shared" si="0"/>
        <v>0</v>
      </c>
    </row>
    <row r="18" spans="2:10" x14ac:dyDescent="0.25">
      <c r="B18" t="s">
        <v>216</v>
      </c>
      <c r="C18">
        <v>0.20715935999999999</v>
      </c>
      <c r="D18" s="13">
        <v>36</v>
      </c>
      <c r="E18" s="12">
        <v>-0.48134932877359105</v>
      </c>
      <c r="F18">
        <v>0.77749999999999997</v>
      </c>
      <c r="G18">
        <v>0.73350000000000004</v>
      </c>
      <c r="H18">
        <v>14.996104239999999</v>
      </c>
      <c r="I18">
        <v>0.33581810000000001</v>
      </c>
      <c r="J18">
        <f t="shared" si="0"/>
        <v>-10.309806126602362</v>
      </c>
    </row>
    <row r="19" spans="2:10" x14ac:dyDescent="0.25">
      <c r="B19" t="s">
        <v>220</v>
      </c>
      <c r="C19">
        <v>0.19344423999999999</v>
      </c>
      <c r="D19" s="13">
        <v>224</v>
      </c>
      <c r="E19" s="12">
        <v>0.39507503505781622</v>
      </c>
      <c r="F19">
        <v>0.94799999999999995</v>
      </c>
      <c r="G19">
        <v>0.97100001999999996</v>
      </c>
      <c r="H19">
        <v>3.64897728</v>
      </c>
      <c r="I19">
        <v>0.31358510000000001</v>
      </c>
      <c r="J19">
        <f t="shared" si="0"/>
        <v>18.031736934050901</v>
      </c>
    </row>
    <row r="20" spans="2:10" x14ac:dyDescent="0.25">
      <c r="B20" t="s">
        <v>58</v>
      </c>
      <c r="C20">
        <v>0.15194942</v>
      </c>
      <c r="D20" s="13">
        <v>135</v>
      </c>
      <c r="E20" s="12">
        <v>-0.71684656266812108</v>
      </c>
      <c r="F20">
        <v>0.72011999999999998</v>
      </c>
      <c r="G20">
        <v>0.71940999999999999</v>
      </c>
      <c r="H20">
        <v>45.597797389999997</v>
      </c>
      <c r="I20">
        <v>0.24631939999999999</v>
      </c>
      <c r="J20">
        <f t="shared" si="0"/>
        <v>-85.562378339381127</v>
      </c>
    </row>
    <row r="21" spans="2:10" x14ac:dyDescent="0.25">
      <c r="B21" t="s">
        <v>213</v>
      </c>
      <c r="C21">
        <v>0.15817523999999999</v>
      </c>
      <c r="D21" s="13">
        <v>570</v>
      </c>
      <c r="E21" s="12">
        <v>-0.6463240297667775</v>
      </c>
      <c r="F21">
        <v>1</v>
      </c>
      <c r="G21">
        <v>1</v>
      </c>
      <c r="H21">
        <v>14.07987499</v>
      </c>
      <c r="I21">
        <v>0.25641190000000003</v>
      </c>
      <c r="J21">
        <f t="shared" si="0"/>
        <v>-210.37815223374551</v>
      </c>
    </row>
    <row r="22" spans="2:10" x14ac:dyDescent="0.25">
      <c r="B22" t="s">
        <v>221</v>
      </c>
      <c r="C22">
        <v>0.34373659000000001</v>
      </c>
      <c r="D22" s="13">
        <v>431</v>
      </c>
      <c r="E22" s="12">
        <v>7.5880002308049407E-2</v>
      </c>
      <c r="F22">
        <v>1</v>
      </c>
      <c r="G22">
        <v>0.99714285000000003</v>
      </c>
      <c r="H22">
        <v>1.32262635</v>
      </c>
      <c r="I22">
        <v>0.55721830000000006</v>
      </c>
      <c r="J22">
        <f t="shared" si="0"/>
        <v>8.26133609751043</v>
      </c>
    </row>
    <row r="23" spans="2:10" x14ac:dyDescent="0.25">
      <c r="B23" t="s">
        <v>59</v>
      </c>
      <c r="C23">
        <v>9.0114899999999998E-2</v>
      </c>
      <c r="D23" s="13">
        <v>582</v>
      </c>
      <c r="E23" s="12">
        <v>0.14209273500714406</v>
      </c>
      <c r="F23">
        <v>0.06</v>
      </c>
      <c r="G23">
        <v>0.28749998999999998</v>
      </c>
      <c r="H23">
        <v>3.93674159</v>
      </c>
      <c r="I23">
        <v>0.14608180000000001</v>
      </c>
      <c r="J23">
        <f t="shared" si="0"/>
        <v>7.3928784812429357E-2</v>
      </c>
    </row>
    <row r="24" spans="2:10" x14ac:dyDescent="0.25">
      <c r="B24" t="s">
        <v>100</v>
      </c>
      <c r="C24">
        <v>6.214223E-2</v>
      </c>
      <c r="D24" s="13">
        <v>54</v>
      </c>
      <c r="E24" s="12">
        <v>-0.65038557199194857</v>
      </c>
      <c r="F24">
        <v>0.1125714</v>
      </c>
      <c r="G24">
        <v>0.14990000000000001</v>
      </c>
      <c r="H24">
        <v>8.9123125099999996</v>
      </c>
      <c r="I24">
        <v>0.1007364</v>
      </c>
      <c r="J24">
        <f t="shared" si="0"/>
        <v>-3.3064200472834933E-2</v>
      </c>
    </row>
    <row r="25" spans="2:10" x14ac:dyDescent="0.25">
      <c r="B25" t="s">
        <v>210</v>
      </c>
      <c r="C25">
        <v>0.13727431000000001</v>
      </c>
      <c r="D25" s="13">
        <v>32</v>
      </c>
      <c r="E25" s="12">
        <v>-0.74295617978312067</v>
      </c>
      <c r="F25">
        <v>1</v>
      </c>
      <c r="G25">
        <v>1</v>
      </c>
      <c r="I25">
        <v>0.22253020000000001</v>
      </c>
      <c r="J25">
        <f t="shared" si="0"/>
        <v>0</v>
      </c>
    </row>
    <row r="26" spans="2:10" x14ac:dyDescent="0.25">
      <c r="B26" t="s">
        <v>125</v>
      </c>
      <c r="C26">
        <v>0.10293052</v>
      </c>
      <c r="D26" s="13">
        <v>2883</v>
      </c>
      <c r="E26" s="12">
        <v>1.7796966776354659</v>
      </c>
      <c r="F26">
        <v>0.05</v>
      </c>
      <c r="G26">
        <v>0.05</v>
      </c>
      <c r="I26">
        <v>0.1668567</v>
      </c>
      <c r="J26">
        <f t="shared" si="0"/>
        <v>0</v>
      </c>
    </row>
    <row r="27" spans="2:10" x14ac:dyDescent="0.25">
      <c r="B27" t="s">
        <v>209</v>
      </c>
      <c r="C27">
        <v>0.17914151</v>
      </c>
      <c r="D27" s="13">
        <v>129</v>
      </c>
      <c r="E27" s="12">
        <v>4.1820961598908223E-4</v>
      </c>
      <c r="F27">
        <v>1</v>
      </c>
      <c r="G27">
        <v>1</v>
      </c>
      <c r="H27">
        <v>2.3209960500000002</v>
      </c>
      <c r="I27">
        <v>0.29039949999999998</v>
      </c>
      <c r="J27">
        <f t="shared" si="0"/>
        <v>6.5140369986188022E-3</v>
      </c>
    </row>
    <row r="28" spans="2:10" x14ac:dyDescent="0.25">
      <c r="B28" t="s">
        <v>55</v>
      </c>
      <c r="C28">
        <v>8.6873019999999995E-2</v>
      </c>
      <c r="D28" s="13">
        <v>13</v>
      </c>
      <c r="E28" s="12">
        <v>-1.4106517021719676</v>
      </c>
      <c r="F28">
        <v>0.86333329999999997</v>
      </c>
      <c r="G28">
        <v>0.88285714000000004</v>
      </c>
      <c r="H28">
        <v>132.43368530000001</v>
      </c>
      <c r="I28">
        <v>0.14082649999999999</v>
      </c>
      <c r="J28">
        <f t="shared" si="0"/>
        <v>-22.646435017663208</v>
      </c>
    </row>
    <row r="29" spans="2:10" x14ac:dyDescent="0.25">
      <c r="B29" t="s">
        <v>112</v>
      </c>
      <c r="C29">
        <v>0.14613917000000001</v>
      </c>
      <c r="D29" s="13">
        <v>549</v>
      </c>
      <c r="E29" s="12">
        <v>1.2090486853728817</v>
      </c>
      <c r="F29">
        <v>0.45400000000000001</v>
      </c>
      <c r="G29">
        <v>0.48949999</v>
      </c>
      <c r="H29">
        <v>21.710224149999998</v>
      </c>
      <c r="I29">
        <v>0.23690069999999999</v>
      </c>
      <c r="J29">
        <f t="shared" si="0"/>
        <v>110.87202037518085</v>
      </c>
    </row>
    <row r="30" spans="2:10" x14ac:dyDescent="0.25">
      <c r="B30" t="s">
        <v>54</v>
      </c>
      <c r="C30">
        <v>7.7179419999999999E-2</v>
      </c>
      <c r="D30" s="13">
        <v>155</v>
      </c>
      <c r="E30" s="12">
        <v>0.11641648934203445</v>
      </c>
      <c r="F30">
        <v>0.66444440000000005</v>
      </c>
      <c r="G30">
        <v>0.49155554000000001</v>
      </c>
      <c r="I30">
        <v>0.12511259999999999</v>
      </c>
      <c r="J30">
        <f t="shared" si="0"/>
        <v>0</v>
      </c>
    </row>
    <row r="31" spans="2:10" x14ac:dyDescent="0.25">
      <c r="B31" t="s">
        <v>208</v>
      </c>
      <c r="C31">
        <v>0.11689293000000001</v>
      </c>
      <c r="D31" s="13">
        <v>479</v>
      </c>
      <c r="E31" s="12">
        <v>4.0740988787443276E-2</v>
      </c>
      <c r="F31">
        <v>1</v>
      </c>
      <c r="G31">
        <v>1</v>
      </c>
      <c r="H31">
        <v>2.9355728600000002</v>
      </c>
      <c r="I31">
        <v>0.18949070000000001</v>
      </c>
      <c r="J31">
        <f t="shared" si="0"/>
        <v>1.2689253898668826</v>
      </c>
    </row>
    <row r="32" spans="2:10" x14ac:dyDescent="0.25">
      <c r="B32" t="s">
        <v>56</v>
      </c>
      <c r="C32">
        <v>0.22464149</v>
      </c>
      <c r="D32" s="13">
        <v>68</v>
      </c>
      <c r="E32" s="12">
        <v>-1.2363712865235856</v>
      </c>
      <c r="F32">
        <v>0.88666670000000003</v>
      </c>
      <c r="G32">
        <v>0.90300000000000002</v>
      </c>
      <c r="H32">
        <v>7.6109394999999997</v>
      </c>
      <c r="I32">
        <v>0.36415779999999998</v>
      </c>
      <c r="J32">
        <f t="shared" si="0"/>
        <v>-41.910595253838792</v>
      </c>
    </row>
    <row r="33" spans="2:10" x14ac:dyDescent="0.25">
      <c r="B33" t="s">
        <v>205</v>
      </c>
      <c r="C33">
        <v>0.14841259000000001</v>
      </c>
      <c r="D33" s="13">
        <v>785</v>
      </c>
      <c r="E33" s="12">
        <v>0.43144403267152742</v>
      </c>
      <c r="F33">
        <v>0.83720000000000006</v>
      </c>
      <c r="G33">
        <v>0.83719999</v>
      </c>
      <c r="H33">
        <v>2.2442808200000002</v>
      </c>
      <c r="I33">
        <v>0.24058599999999999</v>
      </c>
      <c r="J33">
        <f t="shared" si="0"/>
        <v>19.022642722904195</v>
      </c>
    </row>
    <row r="34" spans="2:10" x14ac:dyDescent="0.25">
      <c r="B34" t="s">
        <v>201</v>
      </c>
      <c r="C34">
        <v>0.45418698000000002</v>
      </c>
      <c r="D34" s="13">
        <v>16</v>
      </c>
      <c r="E34" s="12">
        <v>-1.2141830495123649</v>
      </c>
      <c r="F34">
        <v>0.30166670000000001</v>
      </c>
      <c r="G34">
        <v>0.30714285000000002</v>
      </c>
      <c r="I34">
        <v>0.73626519999999995</v>
      </c>
      <c r="J34">
        <f t="shared" si="0"/>
        <v>0</v>
      </c>
    </row>
    <row r="35" spans="2:10" x14ac:dyDescent="0.25">
      <c r="B35" t="s">
        <v>200</v>
      </c>
      <c r="C35">
        <v>0.15263531999999999</v>
      </c>
      <c r="D35" s="13">
        <v>1318</v>
      </c>
      <c r="E35" s="12">
        <v>0.63927708772905856</v>
      </c>
      <c r="F35">
        <v>0.87624999999999997</v>
      </c>
      <c r="G35">
        <v>0.88999998999999996</v>
      </c>
      <c r="I35">
        <v>0.24743129999999999</v>
      </c>
      <c r="J35">
        <f t="shared" si="0"/>
        <v>0</v>
      </c>
    </row>
    <row r="36" spans="2:10" x14ac:dyDescent="0.25">
      <c r="B36" t="s">
        <v>186</v>
      </c>
      <c r="C36">
        <v>0.11463263999999999</v>
      </c>
      <c r="D36" s="13">
        <v>752</v>
      </c>
      <c r="E36" s="12">
        <v>1.3197984157587539</v>
      </c>
      <c r="F36">
        <v>9.5000000000000001E-2</v>
      </c>
      <c r="G36">
        <v>9.5000000000000001E-2</v>
      </c>
      <c r="I36">
        <v>0.18582660000000001</v>
      </c>
      <c r="J36">
        <f t="shared" si="0"/>
        <v>0</v>
      </c>
    </row>
    <row r="37" spans="2:10" x14ac:dyDescent="0.25">
      <c r="B37" t="s">
        <v>197</v>
      </c>
      <c r="C37">
        <v>0.31963490999999999</v>
      </c>
      <c r="D37" s="13">
        <v>1544</v>
      </c>
      <c r="E37" s="12">
        <v>0.98238668585181166</v>
      </c>
      <c r="F37">
        <v>1</v>
      </c>
      <c r="G37">
        <v>1</v>
      </c>
      <c r="I37">
        <v>0.51814800000000005</v>
      </c>
      <c r="J37">
        <f t="shared" ref="J37:J68" si="1">C37*D37*E37*F37*G37*H37*I37</f>
        <v>0</v>
      </c>
    </row>
    <row r="38" spans="2:10" x14ac:dyDescent="0.25">
      <c r="B38" t="s">
        <v>195</v>
      </c>
      <c r="C38">
        <v>0.14624693999999999</v>
      </c>
      <c r="D38" s="13">
        <v>3298</v>
      </c>
      <c r="E38" s="12">
        <v>2.1911358930373206</v>
      </c>
      <c r="F38">
        <v>0.78625560000000005</v>
      </c>
      <c r="G38">
        <v>0.80923884999999995</v>
      </c>
      <c r="H38">
        <v>11.331436160000001</v>
      </c>
      <c r="I38">
        <v>0.23707529999999999</v>
      </c>
      <c r="J38">
        <f t="shared" si="1"/>
        <v>1806.4190034336145</v>
      </c>
    </row>
    <row r="39" spans="2:10" x14ac:dyDescent="0.25">
      <c r="B39" t="s">
        <v>231</v>
      </c>
      <c r="C39">
        <v>0.39365443999999999</v>
      </c>
      <c r="D39" s="13">
        <v>205</v>
      </c>
      <c r="E39" s="12">
        <v>-0.43960834072432114</v>
      </c>
      <c r="F39">
        <v>1</v>
      </c>
      <c r="G39">
        <v>1</v>
      </c>
      <c r="H39">
        <v>1.0611074</v>
      </c>
      <c r="I39">
        <v>0.63813819999999999</v>
      </c>
      <c r="J39">
        <f t="shared" si="1"/>
        <v>-24.02199239816002</v>
      </c>
    </row>
    <row r="40" spans="2:10" x14ac:dyDescent="0.25">
      <c r="B40" t="s">
        <v>50</v>
      </c>
      <c r="C40">
        <v>0.14609611</v>
      </c>
      <c r="D40" s="13">
        <v>116</v>
      </c>
      <c r="E40" s="12">
        <v>-0.30010992140326942</v>
      </c>
      <c r="F40">
        <v>1</v>
      </c>
      <c r="G40">
        <v>1</v>
      </c>
      <c r="H40">
        <v>56.344635009999998</v>
      </c>
      <c r="I40">
        <v>0.23683080000000001</v>
      </c>
      <c r="J40">
        <f t="shared" si="1"/>
        <v>-67.86842124022408</v>
      </c>
    </row>
    <row r="41" spans="2:10" x14ac:dyDescent="0.25">
      <c r="B41" t="s">
        <v>128</v>
      </c>
      <c r="C41">
        <v>0.1276291</v>
      </c>
      <c r="D41" s="13">
        <v>258</v>
      </c>
      <c r="E41" s="12">
        <v>-4.0376162211067448E-2</v>
      </c>
      <c r="F41">
        <v>1</v>
      </c>
      <c r="G41">
        <v>1</v>
      </c>
      <c r="I41">
        <v>0.20689469999999999</v>
      </c>
      <c r="J41">
        <f t="shared" si="1"/>
        <v>0</v>
      </c>
    </row>
    <row r="42" spans="2:10" x14ac:dyDescent="0.25">
      <c r="B42" t="s">
        <v>192</v>
      </c>
      <c r="C42">
        <v>0.16140296000000001</v>
      </c>
      <c r="D42" s="13">
        <v>1036</v>
      </c>
      <c r="E42" s="12">
        <v>1.1789531499190389</v>
      </c>
      <c r="F42">
        <v>1</v>
      </c>
      <c r="G42">
        <v>1</v>
      </c>
      <c r="I42">
        <v>0.26164419999999999</v>
      </c>
      <c r="J42">
        <f t="shared" si="1"/>
        <v>0</v>
      </c>
    </row>
    <row r="43" spans="2:10" x14ac:dyDescent="0.25">
      <c r="B43" t="s">
        <v>95</v>
      </c>
      <c r="C43">
        <v>9.1326829999999998E-2</v>
      </c>
      <c r="D43" s="13">
        <v>19</v>
      </c>
      <c r="E43" s="12">
        <v>-0.40615725642343625</v>
      </c>
      <c r="F43">
        <v>3.8571399999999999E-2</v>
      </c>
      <c r="G43">
        <v>9.1624999999999998E-2</v>
      </c>
      <c r="H43">
        <v>191.49217224</v>
      </c>
      <c r="I43">
        <v>0.14804639999999999</v>
      </c>
      <c r="J43">
        <f t="shared" si="1"/>
        <v>-7.0611342416245712E-2</v>
      </c>
    </row>
    <row r="44" spans="2:10" x14ac:dyDescent="0.25">
      <c r="B44" t="s">
        <v>190</v>
      </c>
      <c r="C44">
        <v>0.22570836999999999</v>
      </c>
      <c r="D44" s="13">
        <v>121</v>
      </c>
      <c r="E44" s="12">
        <v>-0.95999060796608338</v>
      </c>
      <c r="F44">
        <v>0.83499999999999996</v>
      </c>
      <c r="G44">
        <v>0.92571431000000004</v>
      </c>
      <c r="I44">
        <v>0.36588720000000002</v>
      </c>
      <c r="J44">
        <f t="shared" si="1"/>
        <v>0</v>
      </c>
    </row>
    <row r="45" spans="2:10" x14ac:dyDescent="0.25">
      <c r="B45" t="s">
        <v>191</v>
      </c>
      <c r="C45">
        <v>0.22241701</v>
      </c>
      <c r="D45" s="13">
        <v>2419</v>
      </c>
      <c r="E45" s="12">
        <v>2.131114695137593</v>
      </c>
      <c r="F45">
        <v>1</v>
      </c>
      <c r="G45">
        <v>0.99374998000000003</v>
      </c>
      <c r="H45">
        <v>6.7627067600000004</v>
      </c>
      <c r="I45">
        <v>0.36055169999999997</v>
      </c>
      <c r="J45">
        <f t="shared" si="1"/>
        <v>2778.2794528134136</v>
      </c>
    </row>
    <row r="46" spans="2:10" x14ac:dyDescent="0.25">
      <c r="B46" t="s">
        <v>189</v>
      </c>
      <c r="C46">
        <v>0.22041353999999999</v>
      </c>
      <c r="D46" s="13">
        <v>3013</v>
      </c>
      <c r="E46" s="12">
        <v>1.4420391203432739</v>
      </c>
      <c r="F46">
        <v>0.1</v>
      </c>
      <c r="G46">
        <v>0.1</v>
      </c>
      <c r="I46">
        <v>0.35730400000000001</v>
      </c>
      <c r="J46">
        <f t="shared" si="1"/>
        <v>0</v>
      </c>
    </row>
    <row r="47" spans="2:10" x14ac:dyDescent="0.25">
      <c r="B47" t="s">
        <v>119</v>
      </c>
      <c r="C47">
        <v>0.27413934000000001</v>
      </c>
      <c r="D47" s="13">
        <v>143</v>
      </c>
      <c r="E47" s="12">
        <v>0.22356163929414616</v>
      </c>
      <c r="F47">
        <v>1</v>
      </c>
      <c r="G47">
        <v>1</v>
      </c>
      <c r="I47">
        <v>0.44439689999999998</v>
      </c>
      <c r="J47">
        <f t="shared" si="1"/>
        <v>0</v>
      </c>
    </row>
    <row r="48" spans="2:10" x14ac:dyDescent="0.25">
      <c r="B48" t="s">
        <v>48</v>
      </c>
      <c r="C48">
        <v>0.13185084</v>
      </c>
      <c r="D48" s="13">
        <v>3124</v>
      </c>
      <c r="E48" s="12">
        <v>1.4840425814612479</v>
      </c>
      <c r="F48">
        <v>0.48749999999999999</v>
      </c>
      <c r="G48">
        <v>0.48300000999999998</v>
      </c>
      <c r="H48">
        <v>18.681257250000002</v>
      </c>
      <c r="I48">
        <v>0.2137384</v>
      </c>
      <c r="J48">
        <f t="shared" si="1"/>
        <v>574.71257945023933</v>
      </c>
    </row>
    <row r="49" spans="2:10" x14ac:dyDescent="0.25">
      <c r="B49" t="s">
        <v>93</v>
      </c>
      <c r="C49">
        <v>0.16593197000000001</v>
      </c>
      <c r="D49" s="13">
        <v>65</v>
      </c>
      <c r="E49" s="12">
        <v>6.4159784773434717E-2</v>
      </c>
      <c r="F49">
        <v>0.42459999999999998</v>
      </c>
      <c r="G49">
        <v>0.48969998999999997</v>
      </c>
      <c r="H49">
        <v>128.04263306000001</v>
      </c>
      <c r="I49">
        <v>0.268986</v>
      </c>
      <c r="J49">
        <f t="shared" si="1"/>
        <v>4.9556506428712801</v>
      </c>
    </row>
    <row r="50" spans="2:10" x14ac:dyDescent="0.25">
      <c r="B50" t="s">
        <v>47</v>
      </c>
      <c r="C50">
        <v>0.11287943</v>
      </c>
      <c r="D50" s="13">
        <v>124</v>
      </c>
      <c r="E50" s="12">
        <v>-0.69174394977981601</v>
      </c>
      <c r="F50">
        <v>0.98699999999999999</v>
      </c>
      <c r="G50">
        <v>0.99157143000000003</v>
      </c>
      <c r="H50">
        <v>22.622037890000001</v>
      </c>
      <c r="I50">
        <v>0.18298449999999999</v>
      </c>
      <c r="J50">
        <f t="shared" si="1"/>
        <v>-39.22555065846803</v>
      </c>
    </row>
    <row r="51" spans="2:10" x14ac:dyDescent="0.25">
      <c r="B51" t="s">
        <v>45</v>
      </c>
      <c r="C51">
        <v>0.14973866999999999</v>
      </c>
      <c r="D51" s="13">
        <v>131</v>
      </c>
      <c r="E51" s="12">
        <v>-0.70735579637160373</v>
      </c>
      <c r="F51">
        <v>0.95779999999999998</v>
      </c>
      <c r="G51">
        <v>0.94924998000000005</v>
      </c>
      <c r="H51">
        <v>26.131744380000001</v>
      </c>
      <c r="I51">
        <v>0.2427357</v>
      </c>
      <c r="J51">
        <f t="shared" si="1"/>
        <v>-80.020390900405076</v>
      </c>
    </row>
    <row r="52" spans="2:10" x14ac:dyDescent="0.25">
      <c r="B52" t="s">
        <v>203</v>
      </c>
      <c r="C52">
        <v>0.20595095999999999</v>
      </c>
      <c r="D52" s="13">
        <v>1003</v>
      </c>
      <c r="E52" s="12">
        <v>0.73018546965978604</v>
      </c>
      <c r="F52">
        <v>0.98750000000000004</v>
      </c>
      <c r="G52">
        <v>0.99374998000000003</v>
      </c>
      <c r="H52">
        <v>0.41146328999999998</v>
      </c>
      <c r="I52">
        <v>0.33385930000000003</v>
      </c>
      <c r="J52">
        <f t="shared" si="1"/>
        <v>20.333247647776975</v>
      </c>
    </row>
    <row r="53" spans="2:10" x14ac:dyDescent="0.25">
      <c r="B53" t="s">
        <v>182</v>
      </c>
      <c r="C53">
        <v>0.21497174999999999</v>
      </c>
      <c r="D53" s="13">
        <v>2546</v>
      </c>
      <c r="E53" s="12">
        <v>1.6108267016018745</v>
      </c>
      <c r="F53">
        <v>0.9985714</v>
      </c>
      <c r="G53">
        <v>0.99625003000000001</v>
      </c>
      <c r="I53">
        <v>0.34848249999999997</v>
      </c>
      <c r="J53">
        <f t="shared" si="1"/>
        <v>0</v>
      </c>
    </row>
    <row r="54" spans="2:10" x14ac:dyDescent="0.25">
      <c r="B54" t="s">
        <v>43</v>
      </c>
      <c r="C54">
        <v>0.12194526</v>
      </c>
      <c r="D54" s="13">
        <v>43</v>
      </c>
      <c r="E54" s="12">
        <v>-1.4161830579074025E-2</v>
      </c>
      <c r="F54">
        <v>0.95169999999999999</v>
      </c>
      <c r="G54">
        <v>0.94134998000000003</v>
      </c>
      <c r="H54">
        <v>120.121521</v>
      </c>
      <c r="I54">
        <v>0.19768079999999999</v>
      </c>
      <c r="J54">
        <f t="shared" si="1"/>
        <v>-1.5797533091289282</v>
      </c>
    </row>
    <row r="55" spans="2:10" x14ac:dyDescent="0.25">
      <c r="B55" t="s">
        <v>44</v>
      </c>
      <c r="C55">
        <v>9.8453009999999994E-2</v>
      </c>
      <c r="D55" s="13">
        <v>51</v>
      </c>
      <c r="E55" s="12">
        <v>-0.2114970301100762</v>
      </c>
      <c r="F55">
        <v>0.99777780000000005</v>
      </c>
      <c r="G55">
        <v>0.95433336000000002</v>
      </c>
      <c r="H55">
        <v>407.20800781000003</v>
      </c>
      <c r="I55">
        <v>0.1595984</v>
      </c>
      <c r="J55">
        <f t="shared" si="1"/>
        <v>-65.717681479263803</v>
      </c>
    </row>
    <row r="56" spans="2:10" x14ac:dyDescent="0.25">
      <c r="B56" t="s">
        <v>179</v>
      </c>
      <c r="C56">
        <v>0.24282353000000001</v>
      </c>
      <c r="D56" s="13">
        <v>267</v>
      </c>
      <c r="E56" s="12">
        <v>-0.74279869327733139</v>
      </c>
      <c r="F56">
        <v>0.998</v>
      </c>
      <c r="G56">
        <v>0.98900001999999998</v>
      </c>
      <c r="I56">
        <v>0.39363199999999998</v>
      </c>
      <c r="J56">
        <f t="shared" si="1"/>
        <v>0</v>
      </c>
    </row>
    <row r="57" spans="2:10" x14ac:dyDescent="0.25">
      <c r="B57" t="s">
        <v>334</v>
      </c>
      <c r="C57">
        <v>6.9479379999999993E-2</v>
      </c>
      <c r="D57" s="13">
        <v>121</v>
      </c>
      <c r="E57" s="12">
        <v>-1.2554755531864976</v>
      </c>
      <c r="F57">
        <v>1</v>
      </c>
      <c r="G57">
        <v>1</v>
      </c>
      <c r="H57">
        <v>1.0625422</v>
      </c>
      <c r="I57">
        <v>0.11263040000000001</v>
      </c>
      <c r="J57">
        <f t="shared" si="1"/>
        <v>-1.2631396828893999</v>
      </c>
    </row>
    <row r="58" spans="2:10" x14ac:dyDescent="0.25">
      <c r="B58" t="s">
        <v>181</v>
      </c>
      <c r="C58">
        <v>0.25314831999999998</v>
      </c>
      <c r="D58" s="13">
        <v>3187</v>
      </c>
      <c r="E58" s="12">
        <v>1.2987237058539933</v>
      </c>
      <c r="F58">
        <v>1</v>
      </c>
      <c r="G58">
        <v>1</v>
      </c>
      <c r="I58">
        <v>0.41036909999999999</v>
      </c>
      <c r="J58">
        <f t="shared" si="1"/>
        <v>0</v>
      </c>
    </row>
    <row r="59" spans="2:10" x14ac:dyDescent="0.25">
      <c r="B59" t="s">
        <v>178</v>
      </c>
      <c r="C59">
        <v>0.26879296000000003</v>
      </c>
      <c r="D59" s="13">
        <v>1225</v>
      </c>
      <c r="E59" s="12">
        <v>1.094824377736894</v>
      </c>
      <c r="F59">
        <v>1</v>
      </c>
      <c r="G59">
        <v>1</v>
      </c>
      <c r="I59">
        <v>0.43573000000000001</v>
      </c>
      <c r="J59">
        <f t="shared" si="1"/>
        <v>0</v>
      </c>
    </row>
    <row r="60" spans="2:10" x14ac:dyDescent="0.25">
      <c r="B60" t="s">
        <v>177</v>
      </c>
      <c r="C60">
        <v>0.22421815</v>
      </c>
      <c r="D60" s="13">
        <v>2341</v>
      </c>
      <c r="E60" s="12">
        <v>0.5169117933287265</v>
      </c>
      <c r="F60">
        <v>1</v>
      </c>
      <c r="G60">
        <v>1</v>
      </c>
      <c r="I60">
        <v>0.3634715</v>
      </c>
      <c r="J60">
        <f t="shared" si="1"/>
        <v>0</v>
      </c>
    </row>
    <row r="61" spans="2:10" x14ac:dyDescent="0.25">
      <c r="B61" t="s">
        <v>176</v>
      </c>
      <c r="C61">
        <v>0.25187020999999998</v>
      </c>
      <c r="D61" s="13">
        <v>214</v>
      </c>
      <c r="E61" s="12">
        <v>0.12552231478137982</v>
      </c>
      <c r="F61">
        <v>0.98499999999999999</v>
      </c>
      <c r="G61">
        <v>0.98583335000000005</v>
      </c>
      <c r="H61">
        <v>1.5524765300000001</v>
      </c>
      <c r="I61">
        <v>0.40829720000000003</v>
      </c>
      <c r="J61">
        <f t="shared" si="1"/>
        <v>4.1644025005272747</v>
      </c>
    </row>
    <row r="62" spans="2:10" x14ac:dyDescent="0.25">
      <c r="B62" t="s">
        <v>41</v>
      </c>
      <c r="C62">
        <v>0.19946316</v>
      </c>
      <c r="D62" s="13">
        <v>2170</v>
      </c>
      <c r="E62" s="12">
        <v>1.2562340243456187</v>
      </c>
      <c r="F62">
        <v>1</v>
      </c>
      <c r="G62">
        <v>1</v>
      </c>
      <c r="H62">
        <v>8.2833805100000006</v>
      </c>
      <c r="I62">
        <v>0.32334210000000002</v>
      </c>
      <c r="J62">
        <f t="shared" si="1"/>
        <v>1456.3402317247899</v>
      </c>
    </row>
    <row r="63" spans="2:10" x14ac:dyDescent="0.25">
      <c r="B63" t="s">
        <v>175</v>
      </c>
      <c r="C63">
        <v>0.10184865</v>
      </c>
      <c r="D63" s="13">
        <v>322</v>
      </c>
      <c r="E63" s="12">
        <v>0.28072078917539905</v>
      </c>
      <c r="F63">
        <v>1</v>
      </c>
      <c r="G63">
        <v>1</v>
      </c>
      <c r="I63">
        <v>0.165103</v>
      </c>
      <c r="J63">
        <f t="shared" si="1"/>
        <v>0</v>
      </c>
    </row>
    <row r="64" spans="2:10" x14ac:dyDescent="0.25">
      <c r="B64" t="s">
        <v>174</v>
      </c>
      <c r="C64">
        <v>0.12398486</v>
      </c>
      <c r="D64" s="13">
        <v>328</v>
      </c>
      <c r="E64" s="12">
        <v>-0.19451570646724606</v>
      </c>
      <c r="F64">
        <v>1</v>
      </c>
      <c r="G64">
        <v>1</v>
      </c>
      <c r="H64">
        <v>10.52570629</v>
      </c>
      <c r="I64">
        <v>0.2009871</v>
      </c>
      <c r="J64">
        <f t="shared" si="1"/>
        <v>-16.734648922530809</v>
      </c>
    </row>
    <row r="65" spans="2:10" x14ac:dyDescent="0.25">
      <c r="B65" t="s">
        <v>89</v>
      </c>
      <c r="C65">
        <v>0.17723997</v>
      </c>
      <c r="D65" s="13">
        <v>23</v>
      </c>
      <c r="E65" s="12">
        <v>-0.658990791821221</v>
      </c>
      <c r="F65">
        <v>0.44374999999999998</v>
      </c>
      <c r="G65">
        <v>0.31</v>
      </c>
      <c r="H65">
        <v>87.193260190000004</v>
      </c>
      <c r="I65">
        <v>0.28731699999999999</v>
      </c>
      <c r="J65">
        <f t="shared" si="1"/>
        <v>-9.257914156113225</v>
      </c>
    </row>
    <row r="66" spans="2:10" x14ac:dyDescent="0.25">
      <c r="B66" t="s">
        <v>87</v>
      </c>
      <c r="C66">
        <v>0.14451017999999999</v>
      </c>
      <c r="D66" s="13">
        <v>1257</v>
      </c>
      <c r="E66" s="12">
        <v>0.20595033851008104</v>
      </c>
      <c r="F66">
        <v>0.41539999999999999</v>
      </c>
      <c r="G66">
        <v>0.42980000000000002</v>
      </c>
      <c r="H66">
        <v>20.226980210000001</v>
      </c>
      <c r="I66">
        <v>0.23425989999999999</v>
      </c>
      <c r="J66">
        <f t="shared" si="1"/>
        <v>31.648864738376957</v>
      </c>
    </row>
    <row r="67" spans="2:10" x14ac:dyDescent="0.25">
      <c r="B67" t="s">
        <v>101</v>
      </c>
      <c r="C67">
        <v>8.5561390000000001E-2</v>
      </c>
      <c r="D67" s="13">
        <v>77</v>
      </c>
      <c r="E67" s="12">
        <v>-0.97721801143631082</v>
      </c>
      <c r="F67">
        <v>0.17527000000000001</v>
      </c>
      <c r="G67">
        <v>0.19040000000000001</v>
      </c>
      <c r="H67">
        <v>47.658634190000001</v>
      </c>
      <c r="I67">
        <v>0.1387003</v>
      </c>
      <c r="J67">
        <f t="shared" si="1"/>
        <v>-1.4202131932345528</v>
      </c>
    </row>
    <row r="68" spans="2:10" x14ac:dyDescent="0.25">
      <c r="B68" t="s">
        <v>333</v>
      </c>
      <c r="C68">
        <v>0.15199335</v>
      </c>
      <c r="D68" s="13">
        <v>16</v>
      </c>
      <c r="E68" s="12">
        <v>-1.0309944820582955</v>
      </c>
      <c r="F68">
        <v>0.84</v>
      </c>
      <c r="G68">
        <v>0.67555553000000002</v>
      </c>
      <c r="I68">
        <v>0.24639059999999999</v>
      </c>
      <c r="J68">
        <f t="shared" si="1"/>
        <v>0</v>
      </c>
    </row>
    <row r="69" spans="2:10" x14ac:dyDescent="0.25">
      <c r="B69" t="s">
        <v>173</v>
      </c>
      <c r="C69">
        <v>9.3889400000000001E-3</v>
      </c>
      <c r="D69" s="13">
        <v>602</v>
      </c>
      <c r="E69" s="12">
        <v>0.63683075226937236</v>
      </c>
      <c r="F69">
        <v>1</v>
      </c>
      <c r="G69">
        <v>1</v>
      </c>
      <c r="I69">
        <v>1.52201E-2</v>
      </c>
      <c r="J69">
        <f t="shared" ref="J69:J100" si="2">C69*D69*E69*F69*G69*H69*I69</f>
        <v>0</v>
      </c>
    </row>
    <row r="70" spans="2:10" x14ac:dyDescent="0.25">
      <c r="B70" t="s">
        <v>86</v>
      </c>
      <c r="C70">
        <v>0.11565802</v>
      </c>
      <c r="D70" s="13">
        <v>519</v>
      </c>
      <c r="E70" s="12">
        <v>-0.67478747967606756</v>
      </c>
      <c r="F70">
        <v>4.045E-2</v>
      </c>
      <c r="G70">
        <v>4.7135000000000003E-2</v>
      </c>
      <c r="H70">
        <v>23.375057219999999</v>
      </c>
      <c r="I70">
        <v>0.18748880000000001</v>
      </c>
      <c r="J70">
        <f t="shared" si="2"/>
        <v>-0.33845440929775061</v>
      </c>
    </row>
    <row r="71" spans="2:10" x14ac:dyDescent="0.25">
      <c r="B71" t="s">
        <v>169</v>
      </c>
      <c r="C71">
        <v>0.14733218000000001</v>
      </c>
      <c r="D71" s="13">
        <v>91</v>
      </c>
      <c r="E71" s="12">
        <v>-0.25971903448677996</v>
      </c>
      <c r="F71">
        <v>0.85</v>
      </c>
      <c r="G71">
        <v>0.85000001999999997</v>
      </c>
      <c r="H71">
        <v>5.3123378800000003</v>
      </c>
      <c r="I71">
        <v>0.23883460000000001</v>
      </c>
      <c r="J71">
        <f t="shared" si="2"/>
        <v>-3.1920051365160464</v>
      </c>
    </row>
    <row r="72" spans="2:10" x14ac:dyDescent="0.25">
      <c r="B72" t="s">
        <v>85</v>
      </c>
      <c r="C72">
        <v>2.74428E-3</v>
      </c>
      <c r="D72" s="13">
        <v>21</v>
      </c>
      <c r="E72" s="12">
        <v>-1.1690619020401927</v>
      </c>
      <c r="F72">
        <v>1.66667E-2</v>
      </c>
      <c r="G72">
        <v>3.9662500000000003E-2</v>
      </c>
      <c r="H72">
        <v>18.536535260000001</v>
      </c>
      <c r="I72">
        <v>4.4485999999999996E-3</v>
      </c>
      <c r="J72">
        <f t="shared" si="2"/>
        <v>-3.6725426282010315E-6</v>
      </c>
    </row>
    <row r="73" spans="2:10" x14ac:dyDescent="0.25">
      <c r="B73" t="s">
        <v>22</v>
      </c>
      <c r="C73">
        <v>0.13852215000000001</v>
      </c>
      <c r="D73" s="13">
        <v>749</v>
      </c>
      <c r="E73" s="12">
        <v>0.71822209929702396</v>
      </c>
      <c r="F73">
        <v>0.78600000000000003</v>
      </c>
      <c r="G73">
        <v>0.85399997000000005</v>
      </c>
      <c r="H73">
        <v>22.678249359999999</v>
      </c>
      <c r="I73">
        <v>0.224553</v>
      </c>
      <c r="J73">
        <f t="shared" si="2"/>
        <v>254.72325433778687</v>
      </c>
    </row>
    <row r="74" spans="2:10" x14ac:dyDescent="0.25">
      <c r="B74" t="s">
        <v>38</v>
      </c>
      <c r="C74">
        <v>0.47973349999999998</v>
      </c>
      <c r="D74" s="13">
        <v>4841</v>
      </c>
      <c r="E74" s="12">
        <v>1.7600004977707309</v>
      </c>
      <c r="F74">
        <v>0.14660000000000001</v>
      </c>
      <c r="G74">
        <v>0.21780000999999999</v>
      </c>
      <c r="H74">
        <v>6.7520685199999999</v>
      </c>
      <c r="I74">
        <v>0.77767770000000003</v>
      </c>
      <c r="J74">
        <f t="shared" si="2"/>
        <v>685.29296260981164</v>
      </c>
    </row>
    <row r="75" spans="2:10" x14ac:dyDescent="0.25">
      <c r="B75" t="s">
        <v>167</v>
      </c>
      <c r="C75">
        <v>0.16441610000000001</v>
      </c>
      <c r="D75" s="13">
        <v>498</v>
      </c>
      <c r="E75" s="12">
        <v>-0.13601301878386787</v>
      </c>
      <c r="F75">
        <v>1</v>
      </c>
      <c r="G75">
        <v>1</v>
      </c>
      <c r="I75">
        <v>0.26652870000000001</v>
      </c>
      <c r="J75">
        <f t="shared" si="2"/>
        <v>0</v>
      </c>
    </row>
    <row r="76" spans="2:10" x14ac:dyDescent="0.25">
      <c r="B76" t="s">
        <v>166</v>
      </c>
      <c r="C76">
        <v>0.24799763</v>
      </c>
      <c r="D76" s="13">
        <v>27</v>
      </c>
      <c r="E76" s="12">
        <v>-0.63713198761722556</v>
      </c>
      <c r="F76">
        <v>1</v>
      </c>
      <c r="G76">
        <v>1</v>
      </c>
      <c r="I76">
        <v>0.40201949999999997</v>
      </c>
      <c r="J76">
        <f t="shared" si="2"/>
        <v>0</v>
      </c>
    </row>
    <row r="77" spans="2:10" x14ac:dyDescent="0.25">
      <c r="B77" t="s">
        <v>170</v>
      </c>
      <c r="C77">
        <v>0.14339574999999999</v>
      </c>
      <c r="D77" s="13">
        <v>303</v>
      </c>
      <c r="E77" s="12">
        <v>0.98925036579735226</v>
      </c>
      <c r="F77">
        <v>1</v>
      </c>
      <c r="G77">
        <v>1</v>
      </c>
      <c r="I77">
        <v>0.2324534</v>
      </c>
      <c r="J77">
        <f t="shared" si="2"/>
        <v>0</v>
      </c>
    </row>
    <row r="78" spans="2:10" x14ac:dyDescent="0.25">
      <c r="B78" t="s">
        <v>32</v>
      </c>
      <c r="C78">
        <v>0.22547027</v>
      </c>
      <c r="D78" s="13">
        <v>267</v>
      </c>
      <c r="E78" s="12">
        <v>-0.37324814597406225</v>
      </c>
      <c r="F78">
        <v>0.99555559999999998</v>
      </c>
      <c r="G78">
        <v>0.98388885999999998</v>
      </c>
      <c r="H78">
        <v>29.070825580000001</v>
      </c>
      <c r="I78">
        <v>0.36550129999999997</v>
      </c>
      <c r="J78">
        <f t="shared" si="2"/>
        <v>-233.8600616157365</v>
      </c>
    </row>
    <row r="79" spans="2:10" x14ac:dyDescent="0.25">
      <c r="B79" t="s">
        <v>34</v>
      </c>
      <c r="C79">
        <v>0.16767746</v>
      </c>
      <c r="D79" s="13">
        <v>32</v>
      </c>
      <c r="E79" s="12">
        <v>-0.76842035081427551</v>
      </c>
      <c r="F79">
        <v>0.73687499999999995</v>
      </c>
      <c r="G79">
        <v>0.60594444999999997</v>
      </c>
      <c r="H79">
        <v>11.81231594</v>
      </c>
      <c r="I79">
        <v>0.27181549999999999</v>
      </c>
      <c r="J79">
        <f t="shared" si="2"/>
        <v>-5.9109791878713542</v>
      </c>
    </row>
    <row r="80" spans="2:10" x14ac:dyDescent="0.25">
      <c r="B80" t="s">
        <v>84</v>
      </c>
      <c r="C80">
        <v>0.10532782</v>
      </c>
      <c r="D80" s="13">
        <v>3214</v>
      </c>
      <c r="E80" s="12">
        <v>1.1099171875194873</v>
      </c>
      <c r="F80">
        <v>0.19433329999999999</v>
      </c>
      <c r="G80">
        <v>0.19603499999999999</v>
      </c>
      <c r="H80">
        <v>55.65996552</v>
      </c>
      <c r="I80">
        <v>0.1707429</v>
      </c>
      <c r="J80">
        <f t="shared" si="2"/>
        <v>136.03353179619481</v>
      </c>
    </row>
    <row r="81" spans="2:10" x14ac:dyDescent="0.25">
      <c r="B81" t="s">
        <v>37</v>
      </c>
      <c r="C81">
        <v>0.16633043</v>
      </c>
      <c r="D81" s="13">
        <v>270</v>
      </c>
      <c r="E81" s="12">
        <v>0.71565688705541208</v>
      </c>
      <c r="F81">
        <v>0.95</v>
      </c>
      <c r="G81">
        <v>0.96714288000000004</v>
      </c>
      <c r="H81">
        <v>0.45114100000000001</v>
      </c>
      <c r="I81">
        <v>0.26963189999999998</v>
      </c>
      <c r="J81">
        <f t="shared" si="2"/>
        <v>3.5920150165659619</v>
      </c>
    </row>
    <row r="82" spans="2:10" x14ac:dyDescent="0.25">
      <c r="B82" t="s">
        <v>162</v>
      </c>
      <c r="C82">
        <v>0.1165529</v>
      </c>
      <c r="D82" s="13">
        <v>408</v>
      </c>
      <c r="E82" s="12">
        <v>0.16800451836040931</v>
      </c>
      <c r="F82">
        <v>0.995</v>
      </c>
      <c r="G82">
        <v>0.995</v>
      </c>
      <c r="H82">
        <v>8.0832023599999996</v>
      </c>
      <c r="I82">
        <v>0.18893950000000001</v>
      </c>
      <c r="J82">
        <f t="shared" si="2"/>
        <v>12.079712091578399</v>
      </c>
    </row>
    <row r="83" spans="2:10" x14ac:dyDescent="0.25">
      <c r="B83" t="s">
        <v>332</v>
      </c>
      <c r="C83">
        <v>0.19776425</v>
      </c>
      <c r="D83" s="13">
        <v>183</v>
      </c>
      <c r="E83" s="12">
        <v>-0.55848189518228342</v>
      </c>
      <c r="F83">
        <v>0.87375000000000003</v>
      </c>
      <c r="G83">
        <v>0.87699996999999996</v>
      </c>
      <c r="H83">
        <v>3.4374287099999998</v>
      </c>
      <c r="I83">
        <v>0.32058809999999999</v>
      </c>
      <c r="J83">
        <f t="shared" si="2"/>
        <v>-17.067732983884813</v>
      </c>
    </row>
    <row r="84" spans="2:10" x14ac:dyDescent="0.25">
      <c r="B84" t="s">
        <v>82</v>
      </c>
      <c r="C84">
        <v>0.14335175</v>
      </c>
      <c r="D84" s="13">
        <v>142</v>
      </c>
      <c r="E84" s="12">
        <v>-0.80665828378171633</v>
      </c>
      <c r="F84">
        <v>0.74222220000000005</v>
      </c>
      <c r="G84">
        <v>0.61000001000000004</v>
      </c>
      <c r="H84">
        <v>49.932571410000001</v>
      </c>
      <c r="I84">
        <v>0.23238210000000001</v>
      </c>
      <c r="J84">
        <f t="shared" si="2"/>
        <v>-86.264344677913797</v>
      </c>
    </row>
    <row r="85" spans="2:10" x14ac:dyDescent="0.25">
      <c r="B85" t="s">
        <v>164</v>
      </c>
      <c r="C85">
        <v>0.61687957999999998</v>
      </c>
      <c r="D85" s="13">
        <v>86</v>
      </c>
      <c r="E85" s="12">
        <v>-0.1087575881410591</v>
      </c>
      <c r="F85">
        <v>0.72499999999999998</v>
      </c>
      <c r="G85">
        <v>0.71875</v>
      </c>
      <c r="I85">
        <v>1</v>
      </c>
      <c r="J85">
        <f t="shared" si="2"/>
        <v>0</v>
      </c>
    </row>
    <row r="86" spans="2:10" x14ac:dyDescent="0.25">
      <c r="B86" t="s">
        <v>33</v>
      </c>
      <c r="C86">
        <v>0.20318659999999999</v>
      </c>
      <c r="D86" s="13">
        <v>256</v>
      </c>
      <c r="E86" s="12">
        <v>0.19384670271883578</v>
      </c>
      <c r="F86">
        <v>0.40612500000000001</v>
      </c>
      <c r="G86">
        <v>0.37869998999999999</v>
      </c>
      <c r="H86">
        <v>4.2945356400000003</v>
      </c>
      <c r="I86">
        <v>0.32937810000000001</v>
      </c>
      <c r="J86">
        <f t="shared" si="2"/>
        <v>2.1936098922822587</v>
      </c>
    </row>
    <row r="87" spans="2:10" x14ac:dyDescent="0.25">
      <c r="B87" t="s">
        <v>163</v>
      </c>
      <c r="C87">
        <v>0.19209459000000001</v>
      </c>
      <c r="D87" s="13">
        <v>25</v>
      </c>
      <c r="E87" s="12">
        <v>-0.95127951159463708</v>
      </c>
      <c r="F87">
        <v>1</v>
      </c>
      <c r="G87">
        <v>1</v>
      </c>
      <c r="H87">
        <v>0.14497468999999999</v>
      </c>
      <c r="I87">
        <v>0.31139719999999999</v>
      </c>
      <c r="J87">
        <f t="shared" si="2"/>
        <v>-0.20623870720364026</v>
      </c>
    </row>
    <row r="88" spans="2:10" x14ac:dyDescent="0.25">
      <c r="B88" t="s">
        <v>165</v>
      </c>
      <c r="C88">
        <v>0.15584038</v>
      </c>
      <c r="D88" s="13">
        <v>3390</v>
      </c>
      <c r="E88" s="12">
        <v>1.6907839306725192</v>
      </c>
      <c r="F88">
        <v>0.94499999999999995</v>
      </c>
      <c r="G88">
        <v>0.94499999000000001</v>
      </c>
      <c r="H88">
        <v>1.1115819199999999</v>
      </c>
      <c r="I88">
        <v>0.25262689999999999</v>
      </c>
      <c r="J88">
        <f t="shared" si="2"/>
        <v>224.00230533196893</v>
      </c>
    </row>
    <row r="89" spans="2:10" x14ac:dyDescent="0.25">
      <c r="B89" t="s">
        <v>158</v>
      </c>
      <c r="C89">
        <v>0.26200399000000002</v>
      </c>
      <c r="D89" s="13">
        <v>2139</v>
      </c>
      <c r="E89" s="12">
        <v>1.8758652160041613</v>
      </c>
      <c r="F89">
        <v>0.92</v>
      </c>
      <c r="G89">
        <v>0.95999997999999997</v>
      </c>
      <c r="H89">
        <v>6.11344814</v>
      </c>
      <c r="I89">
        <v>0.42472470000000001</v>
      </c>
      <c r="J89">
        <f t="shared" si="2"/>
        <v>2410.8662772295852</v>
      </c>
    </row>
    <row r="90" spans="2:10" x14ac:dyDescent="0.25">
      <c r="B90" t="s">
        <v>77</v>
      </c>
      <c r="C90">
        <v>0.10750034999999999</v>
      </c>
      <c r="D90" s="13">
        <v>144</v>
      </c>
      <c r="E90" s="12">
        <v>-1.0436427705090194</v>
      </c>
      <c r="F90">
        <v>0.46944999999999998</v>
      </c>
      <c r="G90">
        <v>0.36919998999999998</v>
      </c>
      <c r="H90">
        <v>47.982479099999999</v>
      </c>
      <c r="I90">
        <v>0.17426469999999999</v>
      </c>
      <c r="J90">
        <f t="shared" si="2"/>
        <v>-23.413555499542234</v>
      </c>
    </row>
    <row r="91" spans="2:10" x14ac:dyDescent="0.25">
      <c r="B91" t="s">
        <v>110</v>
      </c>
      <c r="C91">
        <v>1.9931200000000001E-3</v>
      </c>
      <c r="D91" s="13">
        <v>23</v>
      </c>
      <c r="E91" s="12">
        <v>-0.75141183884212581</v>
      </c>
      <c r="F91">
        <v>0.92800000000000005</v>
      </c>
      <c r="G91">
        <v>0.92500000999999998</v>
      </c>
      <c r="H91">
        <v>195.86582946999999</v>
      </c>
      <c r="I91">
        <v>3.2309999999999999E-3</v>
      </c>
      <c r="J91">
        <f t="shared" si="2"/>
        <v>-1.8712191964722465E-2</v>
      </c>
    </row>
    <row r="92" spans="2:10" x14ac:dyDescent="0.25">
      <c r="B92" t="s">
        <v>31</v>
      </c>
      <c r="C92">
        <v>0.16053924</v>
      </c>
      <c r="D92" s="13">
        <v>50</v>
      </c>
      <c r="E92" s="12">
        <v>-1.2364645075245007</v>
      </c>
      <c r="F92">
        <v>0.70640000000000003</v>
      </c>
      <c r="G92">
        <v>0.73071998000000005</v>
      </c>
      <c r="H92">
        <v>40.0788765</v>
      </c>
      <c r="I92">
        <v>0.26024399999999998</v>
      </c>
      <c r="J92">
        <f t="shared" si="2"/>
        <v>-53.435613360014486</v>
      </c>
    </row>
    <row r="93" spans="2:10" x14ac:dyDescent="0.25">
      <c r="B93" t="s">
        <v>156</v>
      </c>
      <c r="C93">
        <v>0.22549300999999999</v>
      </c>
      <c r="D93" s="13">
        <v>4237</v>
      </c>
      <c r="E93" s="12">
        <v>1.7255104948464244</v>
      </c>
      <c r="F93">
        <v>0.96</v>
      </c>
      <c r="G93">
        <v>0.97857141000000003</v>
      </c>
      <c r="I93">
        <v>0.36553819999999998</v>
      </c>
      <c r="J93">
        <f t="shared" si="2"/>
        <v>0</v>
      </c>
    </row>
    <row r="94" spans="2:10" x14ac:dyDescent="0.25">
      <c r="B94" t="s">
        <v>153</v>
      </c>
      <c r="C94">
        <v>0.27833930000000001</v>
      </c>
      <c r="D94" s="13">
        <v>620</v>
      </c>
      <c r="E94" s="12">
        <v>0.64527711134725041</v>
      </c>
      <c r="F94">
        <v>0.8855556</v>
      </c>
      <c r="G94">
        <v>0.94277774999999997</v>
      </c>
      <c r="I94">
        <v>0.45120519999999997</v>
      </c>
      <c r="J94">
        <f t="shared" si="2"/>
        <v>0</v>
      </c>
    </row>
    <row r="95" spans="2:10" x14ac:dyDescent="0.25">
      <c r="B95" t="s">
        <v>78</v>
      </c>
      <c r="C95">
        <v>9.4698379999999999E-2</v>
      </c>
      <c r="D95" s="13">
        <v>21</v>
      </c>
      <c r="E95" s="12">
        <v>-0.93393969434850865</v>
      </c>
      <c r="F95">
        <v>0.47620000000000001</v>
      </c>
      <c r="G95">
        <v>0.51129997000000005</v>
      </c>
      <c r="H95">
        <v>35.667224879999999</v>
      </c>
      <c r="I95">
        <v>0.15351190000000001</v>
      </c>
      <c r="J95">
        <f t="shared" si="2"/>
        <v>-2.4760374197703579</v>
      </c>
    </row>
    <row r="96" spans="2:10" x14ac:dyDescent="0.25">
      <c r="B96" t="s">
        <v>155</v>
      </c>
      <c r="C96">
        <v>0.30254491999999999</v>
      </c>
      <c r="D96" s="13">
        <v>774</v>
      </c>
      <c r="E96" s="12">
        <v>0.24568342068178231</v>
      </c>
      <c r="F96">
        <v>1</v>
      </c>
      <c r="G96">
        <v>1</v>
      </c>
      <c r="I96">
        <v>0.49044409999999999</v>
      </c>
      <c r="J96">
        <f t="shared" si="2"/>
        <v>0</v>
      </c>
    </row>
    <row r="97" spans="2:10" x14ac:dyDescent="0.25">
      <c r="B97" t="s">
        <v>152</v>
      </c>
      <c r="C97">
        <v>7.2748939999999998E-2</v>
      </c>
      <c r="D97" s="13">
        <v>56</v>
      </c>
      <c r="E97" s="12">
        <v>-0.8386808982979076</v>
      </c>
      <c r="F97">
        <v>1</v>
      </c>
      <c r="G97">
        <v>1</v>
      </c>
      <c r="H97">
        <v>9.906247E-2</v>
      </c>
      <c r="I97">
        <v>0.11793049999999999</v>
      </c>
      <c r="J97">
        <f t="shared" si="2"/>
        <v>-3.9915974883098775E-2</v>
      </c>
    </row>
    <row r="98" spans="2:10" x14ac:dyDescent="0.25">
      <c r="B98" t="s">
        <v>151</v>
      </c>
      <c r="C98">
        <v>9.950726E-2</v>
      </c>
      <c r="D98" s="13">
        <v>131</v>
      </c>
      <c r="E98" s="12">
        <v>-0.92792185110230974</v>
      </c>
      <c r="F98">
        <v>0.88849999999999996</v>
      </c>
      <c r="G98">
        <v>0.87388127999999998</v>
      </c>
      <c r="H98">
        <v>177.13565062999999</v>
      </c>
      <c r="I98">
        <v>0.16130739999999999</v>
      </c>
      <c r="J98">
        <f t="shared" si="2"/>
        <v>-268.35370861161232</v>
      </c>
    </row>
    <row r="99" spans="2:10" x14ac:dyDescent="0.25">
      <c r="B99" t="s">
        <v>149</v>
      </c>
      <c r="C99">
        <v>9.7322549999999994E-2</v>
      </c>
      <c r="D99" s="13">
        <v>234</v>
      </c>
      <c r="E99" s="12">
        <v>-0.35589609834504693</v>
      </c>
      <c r="F99">
        <v>0.99566670000000002</v>
      </c>
      <c r="G99">
        <v>0.99566668000000003</v>
      </c>
      <c r="H99">
        <v>1.0962185900000001</v>
      </c>
      <c r="I99">
        <v>0.15776589999999999</v>
      </c>
      <c r="J99">
        <f t="shared" si="2"/>
        <v>-1.389603252691493</v>
      </c>
    </row>
    <row r="100" spans="2:10" x14ac:dyDescent="0.25">
      <c r="B100" t="s">
        <v>148</v>
      </c>
      <c r="C100">
        <v>0.13562529000000001</v>
      </c>
      <c r="D100" s="13">
        <v>47</v>
      </c>
      <c r="E100" s="12">
        <v>-0.13971937469147391</v>
      </c>
      <c r="F100">
        <v>0.99075000000000002</v>
      </c>
      <c r="G100">
        <v>0.99487501</v>
      </c>
      <c r="H100">
        <v>36.326408389999997</v>
      </c>
      <c r="I100">
        <v>0.219857</v>
      </c>
      <c r="J100">
        <f t="shared" si="2"/>
        <v>-7.0111705691030783</v>
      </c>
    </row>
    <row r="101" spans="2:10" x14ac:dyDescent="0.25">
      <c r="B101" t="s">
        <v>26</v>
      </c>
      <c r="C101">
        <v>0.13308977</v>
      </c>
      <c r="D101" s="13">
        <v>926</v>
      </c>
      <c r="E101" s="12">
        <v>0.64450563470209854</v>
      </c>
      <c r="F101">
        <v>0.89222219999999997</v>
      </c>
      <c r="G101">
        <v>0.90300000000000002</v>
      </c>
      <c r="H101">
        <v>32.429141999999999</v>
      </c>
      <c r="I101">
        <v>0.21574670000000001</v>
      </c>
      <c r="J101">
        <f t="shared" ref="J101:J128" si="3">C101*D101*E101*F101*G101*H101*I101</f>
        <v>447.73678364218523</v>
      </c>
    </row>
    <row r="102" spans="2:10" x14ac:dyDescent="0.25">
      <c r="B102" t="s">
        <v>109</v>
      </c>
      <c r="C102">
        <v>0.21561886</v>
      </c>
      <c r="D102" s="13">
        <v>1889</v>
      </c>
      <c r="E102" s="12">
        <v>1.2071866806446825</v>
      </c>
      <c r="F102">
        <v>0.93444439999999995</v>
      </c>
      <c r="G102">
        <v>0.80611109999999997</v>
      </c>
      <c r="H102">
        <v>41.355461120000001</v>
      </c>
      <c r="I102">
        <v>0.34953149999999999</v>
      </c>
      <c r="J102">
        <f t="shared" si="3"/>
        <v>5353.7821322826021</v>
      </c>
    </row>
    <row r="103" spans="2:10" x14ac:dyDescent="0.25">
      <c r="B103" t="s">
        <v>147</v>
      </c>
      <c r="C103">
        <v>0.1696558</v>
      </c>
      <c r="D103" s="13">
        <v>1658</v>
      </c>
      <c r="E103" s="12">
        <v>1.1300858579577293</v>
      </c>
      <c r="F103">
        <v>1</v>
      </c>
      <c r="G103">
        <v>1</v>
      </c>
      <c r="I103">
        <v>0.27502260000000001</v>
      </c>
      <c r="J103">
        <f t="shared" si="3"/>
        <v>0</v>
      </c>
    </row>
    <row r="104" spans="2:10" x14ac:dyDescent="0.25">
      <c r="B104" t="s">
        <v>146</v>
      </c>
      <c r="C104">
        <v>0.20759917999999999</v>
      </c>
      <c r="D104" s="13">
        <v>669</v>
      </c>
      <c r="E104" s="12">
        <v>-0.28174094210370548</v>
      </c>
      <c r="F104">
        <v>1</v>
      </c>
      <c r="G104">
        <v>1</v>
      </c>
      <c r="I104">
        <v>0.33653110000000003</v>
      </c>
      <c r="J104">
        <f t="shared" si="3"/>
        <v>0</v>
      </c>
    </row>
    <row r="105" spans="2:10" x14ac:dyDescent="0.25">
      <c r="B105" t="s">
        <v>27</v>
      </c>
      <c r="C105">
        <v>0.11401877000000001</v>
      </c>
      <c r="D105" s="13">
        <v>57</v>
      </c>
      <c r="E105" s="12">
        <v>-0.15398025732864554</v>
      </c>
      <c r="F105">
        <v>0.9944286</v>
      </c>
      <c r="G105">
        <v>0.99400001999999998</v>
      </c>
      <c r="H105">
        <v>5.2085733400000001</v>
      </c>
      <c r="I105">
        <v>0.18483150000000001</v>
      </c>
      <c r="J105">
        <f t="shared" si="3"/>
        <v>-0.95229393741372392</v>
      </c>
    </row>
    <row r="106" spans="2:10" x14ac:dyDescent="0.25">
      <c r="B106" t="s">
        <v>145</v>
      </c>
      <c r="C106">
        <v>0.20587</v>
      </c>
      <c r="D106" s="13">
        <v>8</v>
      </c>
      <c r="E106" s="12">
        <v>2.1940100762497536</v>
      </c>
      <c r="F106">
        <v>0.87875000000000003</v>
      </c>
      <c r="G106">
        <v>0.88788891000000003</v>
      </c>
      <c r="I106">
        <v>0.33372800000000002</v>
      </c>
      <c r="J106">
        <f t="shared" si="3"/>
        <v>0</v>
      </c>
    </row>
    <row r="107" spans="2:10" x14ac:dyDescent="0.25">
      <c r="B107" t="s">
        <v>141</v>
      </c>
      <c r="C107">
        <v>0.14562290999999999</v>
      </c>
      <c r="D107" s="13">
        <v>858</v>
      </c>
      <c r="E107" s="12">
        <v>0.91745601159098522</v>
      </c>
      <c r="F107">
        <v>0.67333330000000002</v>
      </c>
      <c r="G107">
        <v>0.75375002999999996</v>
      </c>
      <c r="I107">
        <v>0.23606369999999999</v>
      </c>
      <c r="J107">
        <f t="shared" si="3"/>
        <v>0</v>
      </c>
    </row>
    <row r="108" spans="2:10" x14ac:dyDescent="0.25">
      <c r="B108" t="s">
        <v>23</v>
      </c>
      <c r="C108">
        <v>0.16122469</v>
      </c>
      <c r="D108" s="13">
        <v>1277</v>
      </c>
      <c r="E108" s="12">
        <v>1.1626361429307022</v>
      </c>
      <c r="F108">
        <v>0.5642857</v>
      </c>
      <c r="G108">
        <v>0.61121428</v>
      </c>
      <c r="H108">
        <v>74.235305789999998</v>
      </c>
      <c r="I108">
        <v>0.26135520000000001</v>
      </c>
      <c r="J108">
        <f t="shared" si="3"/>
        <v>1601.771092670534</v>
      </c>
    </row>
    <row r="109" spans="2:10" x14ac:dyDescent="0.25">
      <c r="B109" t="s">
        <v>133</v>
      </c>
      <c r="C109">
        <v>0.13380649999999999</v>
      </c>
      <c r="D109" s="13">
        <v>1738</v>
      </c>
      <c r="E109" s="12">
        <v>-1.003408240436495</v>
      </c>
      <c r="F109">
        <v>1</v>
      </c>
      <c r="G109">
        <v>1</v>
      </c>
      <c r="I109">
        <v>0.21690860000000001</v>
      </c>
      <c r="J109">
        <f t="shared" si="3"/>
        <v>0</v>
      </c>
    </row>
    <row r="110" spans="2:10" x14ac:dyDescent="0.25">
      <c r="B110" t="s">
        <v>75</v>
      </c>
      <c r="C110">
        <v>0.10940892000000001</v>
      </c>
      <c r="D110" s="13">
        <v>346</v>
      </c>
      <c r="E110" s="12">
        <v>0.50684983662043126</v>
      </c>
      <c r="F110">
        <v>3.9875000000000001E-2</v>
      </c>
      <c r="G110">
        <v>8.9874999999999997E-2</v>
      </c>
      <c r="H110">
        <v>24.081130980000001</v>
      </c>
      <c r="I110">
        <v>0.17735860000000001</v>
      </c>
      <c r="J110">
        <f t="shared" si="3"/>
        <v>0.29368169088446305</v>
      </c>
    </row>
    <row r="111" spans="2:10" x14ac:dyDescent="0.25">
      <c r="B111" t="s">
        <v>49</v>
      </c>
      <c r="C111">
        <v>0.12394046</v>
      </c>
      <c r="D111" s="13">
        <v>2272</v>
      </c>
      <c r="E111" s="12">
        <v>0.93573653852570982</v>
      </c>
      <c r="F111">
        <v>0.99650000000000005</v>
      </c>
      <c r="G111">
        <v>0.96700001000000002</v>
      </c>
      <c r="H111">
        <v>13.269357680000001</v>
      </c>
      <c r="I111">
        <v>0.20091519999999999</v>
      </c>
      <c r="J111">
        <f t="shared" si="3"/>
        <v>676.92646766637586</v>
      </c>
    </row>
    <row r="112" spans="2:10" x14ac:dyDescent="0.25">
      <c r="B112" t="s">
        <v>331</v>
      </c>
      <c r="C112">
        <v>0.14564161</v>
      </c>
      <c r="D112" s="13">
        <v>87</v>
      </c>
      <c r="E112" s="12">
        <v>-0.16955583560361451</v>
      </c>
      <c r="F112">
        <v>0.82857139999999996</v>
      </c>
      <c r="G112">
        <v>0.86250000999999998</v>
      </c>
      <c r="I112">
        <v>0.2360941</v>
      </c>
      <c r="J112">
        <f t="shared" si="3"/>
        <v>0</v>
      </c>
    </row>
    <row r="113" spans="2:10" x14ac:dyDescent="0.25">
      <c r="B113" t="s">
        <v>131</v>
      </c>
      <c r="C113">
        <v>0.20076390999999999</v>
      </c>
      <c r="D113" s="13">
        <v>198</v>
      </c>
      <c r="E113" s="12">
        <v>-0.70246560406234704</v>
      </c>
      <c r="F113">
        <v>0.59</v>
      </c>
      <c r="G113">
        <v>0.71222222000000002</v>
      </c>
      <c r="I113">
        <v>0.32545069999999998</v>
      </c>
      <c r="J113">
        <f t="shared" si="3"/>
        <v>0</v>
      </c>
    </row>
    <row r="114" spans="2:10" x14ac:dyDescent="0.25">
      <c r="B114" t="s">
        <v>126</v>
      </c>
      <c r="C114">
        <v>0.21892250999999999</v>
      </c>
      <c r="D114" s="13">
        <v>2902</v>
      </c>
      <c r="E114" s="12">
        <v>1.9854581491876671</v>
      </c>
      <c r="F114">
        <v>0</v>
      </c>
      <c r="G114">
        <v>0.5</v>
      </c>
      <c r="I114">
        <v>0.35488690000000001</v>
      </c>
      <c r="J114">
        <f t="shared" si="3"/>
        <v>0</v>
      </c>
    </row>
    <row r="115" spans="2:10" x14ac:dyDescent="0.25">
      <c r="B115" t="s">
        <v>20</v>
      </c>
      <c r="C115">
        <v>0.25499179999999999</v>
      </c>
      <c r="D115" s="13">
        <v>3021</v>
      </c>
      <c r="E115" s="12">
        <v>1.9152046673379297</v>
      </c>
      <c r="F115">
        <v>0.99</v>
      </c>
      <c r="G115">
        <v>0.95300001000000001</v>
      </c>
      <c r="H115">
        <v>1.6462727800000001</v>
      </c>
      <c r="I115">
        <v>0.41335749999999999</v>
      </c>
      <c r="J115">
        <f t="shared" si="3"/>
        <v>947.21343769223404</v>
      </c>
    </row>
    <row r="116" spans="2:10" x14ac:dyDescent="0.25">
      <c r="B116" t="s">
        <v>70</v>
      </c>
      <c r="C116">
        <v>0.15441777000000001</v>
      </c>
      <c r="D116" s="13">
        <v>35</v>
      </c>
      <c r="E116" s="12">
        <v>-1.1082129666414446</v>
      </c>
      <c r="F116">
        <v>0.52845710000000001</v>
      </c>
      <c r="G116">
        <v>0.37988748999999999</v>
      </c>
      <c r="H116">
        <v>10.16967678</v>
      </c>
      <c r="I116">
        <v>0.25032080000000001</v>
      </c>
      <c r="J116">
        <f t="shared" si="3"/>
        <v>-3.060957964130921</v>
      </c>
    </row>
    <row r="117" spans="2:10" x14ac:dyDescent="0.25">
      <c r="B117" t="s">
        <v>18</v>
      </c>
      <c r="C117">
        <v>0.16152871999999999</v>
      </c>
      <c r="D117" s="13">
        <v>261</v>
      </c>
      <c r="E117" s="12">
        <v>0.15230110530831548</v>
      </c>
      <c r="F117">
        <v>1</v>
      </c>
      <c r="G117">
        <v>1</v>
      </c>
      <c r="H117">
        <v>18.101181029999999</v>
      </c>
      <c r="I117">
        <v>0.26184809999999997</v>
      </c>
      <c r="J117">
        <f t="shared" si="3"/>
        <v>30.433342447664884</v>
      </c>
    </row>
    <row r="118" spans="2:10" x14ac:dyDescent="0.25">
      <c r="B118" t="s">
        <v>72</v>
      </c>
      <c r="C118">
        <v>8.8588559999999997E-2</v>
      </c>
      <c r="D118" s="13">
        <v>16</v>
      </c>
      <c r="E118" s="12">
        <v>-1.3587368955135766</v>
      </c>
      <c r="F118">
        <v>6.9666699999999998E-2</v>
      </c>
      <c r="G118">
        <v>8.48E-2</v>
      </c>
      <c r="H118">
        <v>15.620904919999999</v>
      </c>
      <c r="I118">
        <v>0.1436075</v>
      </c>
      <c r="J118">
        <f t="shared" si="3"/>
        <v>-2.5523333530898508E-2</v>
      </c>
    </row>
    <row r="119" spans="2:10" x14ac:dyDescent="0.25">
      <c r="B119" t="s">
        <v>123</v>
      </c>
      <c r="C119">
        <v>0.25238648000000002</v>
      </c>
      <c r="D119" s="13">
        <v>836</v>
      </c>
      <c r="E119" s="12">
        <v>0.39298903697229165</v>
      </c>
      <c r="F119">
        <v>1</v>
      </c>
      <c r="G119">
        <v>0.98083335000000005</v>
      </c>
      <c r="H119">
        <v>7.17864E-2</v>
      </c>
      <c r="I119">
        <v>0.4091341</v>
      </c>
      <c r="J119">
        <f t="shared" si="3"/>
        <v>2.388668464982497</v>
      </c>
    </row>
    <row r="120" spans="2:10" x14ac:dyDescent="0.25">
      <c r="B120" t="s">
        <v>15</v>
      </c>
      <c r="C120">
        <v>0.21253461000000001</v>
      </c>
      <c r="D120" s="13">
        <v>283</v>
      </c>
      <c r="E120" s="12">
        <v>0.41398065930228817</v>
      </c>
      <c r="F120">
        <v>0.89998999999999996</v>
      </c>
      <c r="G120">
        <v>0.94714498999999996</v>
      </c>
      <c r="H120">
        <v>9.4026823000000004</v>
      </c>
      <c r="I120">
        <v>0.3445317</v>
      </c>
      <c r="J120">
        <f t="shared" si="3"/>
        <v>68.759268769636975</v>
      </c>
    </row>
    <row r="121" spans="2:10" x14ac:dyDescent="0.25">
      <c r="B121" t="s">
        <v>122</v>
      </c>
      <c r="C121">
        <v>0.18980569999999999</v>
      </c>
      <c r="D121" s="13">
        <v>726</v>
      </c>
      <c r="E121" s="12">
        <v>0.35190916854072629</v>
      </c>
      <c r="F121">
        <v>1</v>
      </c>
      <c r="G121">
        <v>1</v>
      </c>
      <c r="H121">
        <v>2.1511828899999998</v>
      </c>
      <c r="I121">
        <v>0.30768679999999998</v>
      </c>
      <c r="J121">
        <f t="shared" si="3"/>
        <v>32.096867776439254</v>
      </c>
    </row>
    <row r="122" spans="2:10" x14ac:dyDescent="0.25">
      <c r="B122" t="s">
        <v>69</v>
      </c>
      <c r="C122">
        <v>0.11538313</v>
      </c>
      <c r="D122" s="13">
        <v>22</v>
      </c>
      <c r="E122" s="12">
        <v>-0.62915306488544587</v>
      </c>
      <c r="F122">
        <v>0.32544440000000002</v>
      </c>
      <c r="G122">
        <v>0.35620001000000001</v>
      </c>
      <c r="H122">
        <v>119.96302795</v>
      </c>
      <c r="I122">
        <v>0.18704319999999999</v>
      </c>
      <c r="J122">
        <f t="shared" si="3"/>
        <v>-4.154142466649132</v>
      </c>
    </row>
    <row r="123" spans="2:10" x14ac:dyDescent="0.25">
      <c r="B123" t="s">
        <v>11</v>
      </c>
      <c r="C123">
        <v>0.15177915</v>
      </c>
      <c r="D123" s="13">
        <v>244</v>
      </c>
      <c r="E123" s="12">
        <v>-0.77141178875607053</v>
      </c>
      <c r="F123">
        <v>0.91901250000000001</v>
      </c>
      <c r="G123">
        <v>0.92300557999999999</v>
      </c>
      <c r="H123">
        <v>13.34705162</v>
      </c>
      <c r="I123">
        <v>0.2460434</v>
      </c>
      <c r="J123">
        <f t="shared" si="3"/>
        <v>-79.581298137532698</v>
      </c>
    </row>
    <row r="124" spans="2:10" x14ac:dyDescent="0.25">
      <c r="B124" t="s">
        <v>116</v>
      </c>
      <c r="C124">
        <v>0.17207918</v>
      </c>
      <c r="D124" s="13">
        <v>2843</v>
      </c>
      <c r="E124" s="12">
        <v>1.4755605690817142</v>
      </c>
      <c r="F124">
        <v>1</v>
      </c>
      <c r="G124">
        <v>1</v>
      </c>
      <c r="H124">
        <v>0.92286581000000001</v>
      </c>
      <c r="I124">
        <v>0.278951</v>
      </c>
      <c r="J124">
        <f t="shared" si="3"/>
        <v>185.83551180772815</v>
      </c>
    </row>
    <row r="125" spans="2:10" x14ac:dyDescent="0.25">
      <c r="B125" t="s">
        <v>330</v>
      </c>
      <c r="C125">
        <v>0.10682862999999999</v>
      </c>
      <c r="D125" s="13">
        <v>3602</v>
      </c>
      <c r="E125" s="12">
        <v>1.3875932960692778</v>
      </c>
      <c r="F125">
        <v>0.54749999999999999</v>
      </c>
      <c r="G125">
        <v>0.54750001000000004</v>
      </c>
      <c r="I125">
        <v>0.17317579999999999</v>
      </c>
      <c r="J125">
        <f t="shared" si="3"/>
        <v>0</v>
      </c>
    </row>
    <row r="126" spans="2:10" x14ac:dyDescent="0.25">
      <c r="B126" t="s">
        <v>314</v>
      </c>
      <c r="C126">
        <v>0.12668224</v>
      </c>
      <c r="D126" s="13">
        <v>617</v>
      </c>
      <c r="E126" s="12">
        <v>0.68841383027191305</v>
      </c>
      <c r="F126">
        <v>0.99824999999999997</v>
      </c>
      <c r="G126">
        <v>0.99849999</v>
      </c>
      <c r="H126">
        <v>1.05192351</v>
      </c>
      <c r="I126">
        <v>0.20535980000000001</v>
      </c>
      <c r="J126">
        <f t="shared" si="3"/>
        <v>11.586105071266383</v>
      </c>
    </row>
    <row r="127" spans="2:10" x14ac:dyDescent="0.25">
      <c r="B127" t="s">
        <v>129</v>
      </c>
      <c r="C127">
        <v>0.25961962</v>
      </c>
      <c r="D127" s="13">
        <v>3211</v>
      </c>
      <c r="E127" s="12">
        <v>-0.94533375600968061</v>
      </c>
      <c r="F127">
        <v>1</v>
      </c>
      <c r="G127">
        <v>1</v>
      </c>
      <c r="H127">
        <v>34.72697067</v>
      </c>
      <c r="I127">
        <v>0.4208595</v>
      </c>
      <c r="J127">
        <f t="shared" si="3"/>
        <v>-11517.733263687844</v>
      </c>
    </row>
    <row r="128" spans="2:10" x14ac:dyDescent="0.25">
      <c r="B128" t="s">
        <v>68</v>
      </c>
      <c r="C128">
        <v>0.1728045</v>
      </c>
      <c r="D128" s="13">
        <v>36</v>
      </c>
      <c r="E128" s="12">
        <v>-0.67495102945901342</v>
      </c>
      <c r="F128">
        <v>0.49433329999999998</v>
      </c>
      <c r="G128">
        <v>0.46168751000000002</v>
      </c>
      <c r="H128">
        <v>92.032241819999996</v>
      </c>
      <c r="I128">
        <v>0.28012680000000001</v>
      </c>
      <c r="J128">
        <f t="shared" si="3"/>
        <v>-24.705432816778451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F1:J19"/>
  <sheetViews>
    <sheetView workbookViewId="0">
      <selection activeCell="H19" sqref="H19"/>
    </sheetView>
  </sheetViews>
  <sheetFormatPr defaultRowHeight="15" x14ac:dyDescent="0.25"/>
  <cols>
    <col min="1" max="6" width="9.140625" style="89"/>
    <col min="7" max="7" width="31.28515625" style="89" customWidth="1"/>
    <col min="8" max="9" width="12.28515625" style="89" bestFit="1" customWidth="1"/>
    <col min="10" max="10" width="11.42578125" style="89" bestFit="1" customWidth="1"/>
    <col min="11" max="16384" width="9.140625" style="89"/>
  </cols>
  <sheetData>
    <row r="1" spans="6:10" x14ac:dyDescent="0.25">
      <c r="G1" s="89" t="s">
        <v>815</v>
      </c>
      <c r="H1" s="89" t="s">
        <v>814</v>
      </c>
      <c r="I1" s="89" t="s">
        <v>813</v>
      </c>
      <c r="J1" s="89" t="s">
        <v>812</v>
      </c>
    </row>
    <row r="2" spans="6:10" x14ac:dyDescent="0.25">
      <c r="F2" s="89" t="s">
        <v>617</v>
      </c>
      <c r="G2" s="105">
        <v>6365342874</v>
      </c>
      <c r="H2" s="105">
        <v>1900873723</v>
      </c>
      <c r="I2" s="105">
        <v>10374971.428571429</v>
      </c>
      <c r="J2" s="105">
        <v>9949043</v>
      </c>
    </row>
    <row r="3" spans="6:10" x14ac:dyDescent="0.25">
      <c r="F3" s="89" t="s">
        <v>616</v>
      </c>
      <c r="G3" s="105">
        <v>3024831043</v>
      </c>
      <c r="H3" s="105">
        <v>928256117</v>
      </c>
      <c r="I3" s="105">
        <v>3552600</v>
      </c>
      <c r="J3" s="105">
        <v>7764171</v>
      </c>
    </row>
    <row r="4" spans="6:10" x14ac:dyDescent="0.25">
      <c r="F4" s="89" t="s">
        <v>637</v>
      </c>
      <c r="G4" s="105">
        <v>2558495586</v>
      </c>
      <c r="H4" s="105">
        <v>0</v>
      </c>
      <c r="I4" s="105">
        <v>7748785.7142857146</v>
      </c>
      <c r="J4" s="105">
        <v>26766167</v>
      </c>
    </row>
    <row r="5" spans="6:10" x14ac:dyDescent="0.25">
      <c r="F5" s="89" t="s">
        <v>615</v>
      </c>
      <c r="G5" s="105">
        <v>2008913340</v>
      </c>
      <c r="H5" s="105">
        <v>0</v>
      </c>
      <c r="I5" s="105">
        <v>5912571.4285714282</v>
      </c>
      <c r="J5" s="105">
        <v>8010867</v>
      </c>
    </row>
    <row r="6" spans="6:10" x14ac:dyDescent="0.25">
      <c r="F6" s="89" t="s">
        <v>639</v>
      </c>
      <c r="G6" s="105">
        <v>43644553</v>
      </c>
      <c r="H6" s="105">
        <v>0</v>
      </c>
      <c r="I6" s="105">
        <v>1954057.142857143</v>
      </c>
      <c r="J6" s="105">
        <v>6063449</v>
      </c>
    </row>
    <row r="8" spans="6:10" x14ac:dyDescent="0.25">
      <c r="I8" s="89" t="s">
        <v>811</v>
      </c>
    </row>
    <row r="9" spans="6:10" x14ac:dyDescent="0.25">
      <c r="I9" s="89" t="s">
        <v>810</v>
      </c>
    </row>
    <row r="18" spans="7:8" x14ac:dyDescent="0.25">
      <c r="G18" s="89" t="s">
        <v>809</v>
      </c>
      <c r="H18" s="89">
        <f>CORREL(G2:G6,I2:I6)</f>
        <v>0.84440546735515332</v>
      </c>
    </row>
    <row r="19" spans="7:8" x14ac:dyDescent="0.25">
      <c r="G19" s="89" t="s">
        <v>833</v>
      </c>
      <c r="H19" s="89">
        <f>CORREL(H2:H6,J2:J6)</f>
        <v>-0.24249628122188918</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D59"/>
  <sheetViews>
    <sheetView workbookViewId="0">
      <selection activeCell="D25" sqref="D25"/>
    </sheetView>
  </sheetViews>
  <sheetFormatPr defaultColWidth="8.85546875" defaultRowHeight="15" x14ac:dyDescent="0.25"/>
  <cols>
    <col min="1" max="1" width="22.7109375" bestFit="1" customWidth="1"/>
  </cols>
  <sheetData>
    <row r="1" spans="1:4" x14ac:dyDescent="0.25">
      <c r="A1" t="s">
        <v>66</v>
      </c>
      <c r="B1" s="1">
        <v>2010</v>
      </c>
      <c r="C1" s="1">
        <v>2015</v>
      </c>
      <c r="D1" s="1">
        <v>2020</v>
      </c>
    </row>
    <row r="2" spans="1:4" x14ac:dyDescent="0.25">
      <c r="A2" t="s">
        <v>106</v>
      </c>
      <c r="B2">
        <v>5546</v>
      </c>
      <c r="C2">
        <v>6198</v>
      </c>
      <c r="D2">
        <v>6772</v>
      </c>
    </row>
    <row r="3" spans="1:4" x14ac:dyDescent="0.25">
      <c r="A3" t="s">
        <v>105</v>
      </c>
      <c r="B3">
        <v>14707</v>
      </c>
      <c r="C3">
        <v>14317</v>
      </c>
      <c r="D3">
        <v>13839</v>
      </c>
    </row>
    <row r="4" spans="1:4" x14ac:dyDescent="0.25">
      <c r="A4" t="s">
        <v>104</v>
      </c>
      <c r="B4">
        <v>1506</v>
      </c>
      <c r="C4">
        <v>1647</v>
      </c>
      <c r="D4">
        <v>1783</v>
      </c>
    </row>
    <row r="5" spans="1:4" x14ac:dyDescent="0.25">
      <c r="A5" t="s">
        <v>58</v>
      </c>
      <c r="B5">
        <v>1235</v>
      </c>
      <c r="C5">
        <v>1267</v>
      </c>
      <c r="D5">
        <v>1301</v>
      </c>
    </row>
    <row r="6" spans="1:4" x14ac:dyDescent="0.25">
      <c r="A6" t="s">
        <v>103</v>
      </c>
      <c r="B6">
        <v>2955</v>
      </c>
      <c r="C6">
        <v>3369</v>
      </c>
      <c r="D6">
        <v>3795</v>
      </c>
    </row>
    <row r="7" spans="1:4" x14ac:dyDescent="0.25">
      <c r="A7" t="s">
        <v>102</v>
      </c>
      <c r="B7">
        <v>1185</v>
      </c>
      <c r="C7">
        <v>1298</v>
      </c>
      <c r="D7">
        <v>1296</v>
      </c>
    </row>
    <row r="8" spans="1:4" x14ac:dyDescent="0.25">
      <c r="A8" t="s">
        <v>101</v>
      </c>
      <c r="B8">
        <v>1492</v>
      </c>
      <c r="C8">
        <v>1483</v>
      </c>
      <c r="D8">
        <v>1452</v>
      </c>
    </row>
    <row r="9" spans="1:4" x14ac:dyDescent="0.25">
      <c r="A9" t="s">
        <v>57</v>
      </c>
      <c r="B9">
        <v>3055</v>
      </c>
      <c r="C9">
        <v>3237</v>
      </c>
      <c r="D9">
        <v>3360</v>
      </c>
    </row>
    <row r="10" spans="1:4" x14ac:dyDescent="0.25">
      <c r="A10" t="s">
        <v>100</v>
      </c>
      <c r="B10">
        <v>651</v>
      </c>
      <c r="C10">
        <v>704</v>
      </c>
      <c r="D10">
        <v>746</v>
      </c>
    </row>
    <row r="11" spans="1:4" x14ac:dyDescent="0.25">
      <c r="A11" t="s">
        <v>99</v>
      </c>
      <c r="B11">
        <v>2006</v>
      </c>
      <c r="C11">
        <v>2190</v>
      </c>
      <c r="D11">
        <v>2367</v>
      </c>
    </row>
    <row r="12" spans="1:4" x14ac:dyDescent="0.25">
      <c r="A12" t="s">
        <v>98</v>
      </c>
      <c r="B12">
        <v>122</v>
      </c>
      <c r="C12">
        <v>129</v>
      </c>
      <c r="D12">
        <v>134</v>
      </c>
    </row>
    <row r="13" spans="1:4" x14ac:dyDescent="0.25">
      <c r="A13" t="s">
        <v>225</v>
      </c>
      <c r="B13">
        <v>11848</v>
      </c>
      <c r="C13">
        <v>12822</v>
      </c>
      <c r="D13">
        <v>13721</v>
      </c>
    </row>
    <row r="14" spans="1:4" x14ac:dyDescent="0.25">
      <c r="A14" t="s">
        <v>53</v>
      </c>
      <c r="B14">
        <v>2969</v>
      </c>
      <c r="C14">
        <v>3154</v>
      </c>
    </row>
    <row r="15" spans="1:4" x14ac:dyDescent="0.25">
      <c r="A15" t="s">
        <v>52</v>
      </c>
      <c r="B15">
        <v>113</v>
      </c>
      <c r="C15">
        <v>121</v>
      </c>
      <c r="D15">
        <v>127</v>
      </c>
    </row>
    <row r="16" spans="1:4" x14ac:dyDescent="0.25">
      <c r="A16" t="s">
        <v>96</v>
      </c>
      <c r="B16">
        <v>861</v>
      </c>
      <c r="C16">
        <v>924</v>
      </c>
      <c r="D16">
        <v>939</v>
      </c>
    </row>
    <row r="17" spans="1:4" x14ac:dyDescent="0.25">
      <c r="A17" t="s">
        <v>95</v>
      </c>
      <c r="B17">
        <v>11932</v>
      </c>
      <c r="C17">
        <v>12111</v>
      </c>
      <c r="D17">
        <v>12258</v>
      </c>
    </row>
    <row r="18" spans="1:4" x14ac:dyDescent="0.25">
      <c r="A18" t="s">
        <v>187</v>
      </c>
      <c r="B18">
        <v>287</v>
      </c>
      <c r="C18">
        <v>313</v>
      </c>
      <c r="D18">
        <v>336</v>
      </c>
    </row>
    <row r="19" spans="1:4" x14ac:dyDescent="0.25">
      <c r="A19" t="s">
        <v>93</v>
      </c>
      <c r="B19">
        <v>3533</v>
      </c>
      <c r="C19">
        <v>3716</v>
      </c>
      <c r="D19">
        <v>3868</v>
      </c>
    </row>
    <row r="20" spans="1:4" x14ac:dyDescent="0.25">
      <c r="A20" t="s">
        <v>92</v>
      </c>
      <c r="B20">
        <v>1658</v>
      </c>
      <c r="C20">
        <v>1798</v>
      </c>
      <c r="D20">
        <v>1932</v>
      </c>
    </row>
    <row r="21" spans="1:4" x14ac:dyDescent="0.25">
      <c r="A21" t="s">
        <v>183</v>
      </c>
      <c r="B21">
        <v>240</v>
      </c>
      <c r="C21">
        <v>257</v>
      </c>
      <c r="D21">
        <v>277</v>
      </c>
    </row>
    <row r="22" spans="1:4" x14ac:dyDescent="0.25">
      <c r="A22" t="s">
        <v>46</v>
      </c>
      <c r="B22">
        <v>65</v>
      </c>
      <c r="C22">
        <v>61</v>
      </c>
      <c r="D22">
        <v>61</v>
      </c>
    </row>
    <row r="23" spans="1:4" x14ac:dyDescent="0.25">
      <c r="A23" t="s">
        <v>90</v>
      </c>
      <c r="B23">
        <v>1237</v>
      </c>
      <c r="C23">
        <v>1240</v>
      </c>
      <c r="D23">
        <v>1232</v>
      </c>
    </row>
    <row r="24" spans="1:4" x14ac:dyDescent="0.25">
      <c r="A24" t="s">
        <v>44</v>
      </c>
      <c r="B24" s="2">
        <v>127979</v>
      </c>
      <c r="C24" s="2"/>
      <c r="D24" s="2"/>
    </row>
    <row r="25" spans="1:4" x14ac:dyDescent="0.25">
      <c r="A25" t="s">
        <v>89</v>
      </c>
      <c r="B25">
        <v>6664</v>
      </c>
      <c r="C25">
        <v>7460</v>
      </c>
    </row>
    <row r="26" spans="1:4" x14ac:dyDescent="0.25">
      <c r="A26" t="s">
        <v>214</v>
      </c>
      <c r="B26">
        <v>1704</v>
      </c>
      <c r="C26">
        <v>1700</v>
      </c>
      <c r="D26">
        <v>1759</v>
      </c>
    </row>
    <row r="27" spans="1:4" x14ac:dyDescent="0.25">
      <c r="A27" t="s">
        <v>87</v>
      </c>
      <c r="B27">
        <v>595</v>
      </c>
      <c r="C27">
        <v>627</v>
      </c>
      <c r="D27">
        <v>628</v>
      </c>
    </row>
    <row r="28" spans="1:4" x14ac:dyDescent="0.25">
      <c r="A28" t="s">
        <v>86</v>
      </c>
      <c r="B28">
        <v>683</v>
      </c>
      <c r="C28">
        <v>668</v>
      </c>
    </row>
    <row r="29" spans="1:4" x14ac:dyDescent="0.25">
      <c r="A29" t="s">
        <v>38</v>
      </c>
      <c r="B29">
        <v>274</v>
      </c>
      <c r="C29">
        <v>281</v>
      </c>
    </row>
    <row r="30" spans="1:4" x14ac:dyDescent="0.25">
      <c r="A30" t="s">
        <v>85</v>
      </c>
      <c r="B30">
        <v>681</v>
      </c>
      <c r="C30">
        <v>732</v>
      </c>
      <c r="D30">
        <v>785</v>
      </c>
    </row>
    <row r="31" spans="1:4" x14ac:dyDescent="0.25">
      <c r="A31" t="s">
        <v>84</v>
      </c>
      <c r="B31">
        <v>3305</v>
      </c>
      <c r="C31">
        <v>3670</v>
      </c>
      <c r="D31">
        <v>4081</v>
      </c>
    </row>
    <row r="32" spans="1:4" x14ac:dyDescent="0.25">
      <c r="A32" t="s">
        <v>83</v>
      </c>
      <c r="B32">
        <v>2715</v>
      </c>
      <c r="C32">
        <v>3254</v>
      </c>
      <c r="D32">
        <v>3838</v>
      </c>
    </row>
    <row r="33" spans="1:4" x14ac:dyDescent="0.25">
      <c r="A33" t="s">
        <v>82</v>
      </c>
      <c r="B33">
        <v>2912</v>
      </c>
      <c r="C33">
        <v>3248</v>
      </c>
      <c r="D33">
        <v>3601</v>
      </c>
    </row>
    <row r="34" spans="1:4" x14ac:dyDescent="0.25">
      <c r="A34" t="s">
        <v>81</v>
      </c>
      <c r="B34">
        <v>513</v>
      </c>
      <c r="C34">
        <v>547</v>
      </c>
      <c r="D34">
        <v>576</v>
      </c>
    </row>
    <row r="35" spans="1:4" x14ac:dyDescent="0.25">
      <c r="A35" t="s">
        <v>80</v>
      </c>
      <c r="B35">
        <v>3876</v>
      </c>
      <c r="C35">
        <v>4073</v>
      </c>
      <c r="D35">
        <v>4358</v>
      </c>
    </row>
    <row r="36" spans="1:4" x14ac:dyDescent="0.25">
      <c r="A36" t="s">
        <v>79</v>
      </c>
      <c r="B36">
        <v>3956</v>
      </c>
      <c r="C36">
        <v>3870</v>
      </c>
      <c r="D36">
        <v>3744</v>
      </c>
    </row>
    <row r="37" spans="1:4" x14ac:dyDescent="0.25">
      <c r="A37" t="s">
        <v>78</v>
      </c>
      <c r="B37">
        <v>3506</v>
      </c>
      <c r="C37">
        <v>3498</v>
      </c>
      <c r="D37">
        <v>3515</v>
      </c>
    </row>
    <row r="38" spans="1:4" x14ac:dyDescent="0.25">
      <c r="A38" t="s">
        <v>31</v>
      </c>
      <c r="B38">
        <v>678</v>
      </c>
      <c r="C38">
        <v>668</v>
      </c>
      <c r="D38">
        <v>647</v>
      </c>
    </row>
    <row r="39" spans="1:4" x14ac:dyDescent="0.25">
      <c r="A39" t="s">
        <v>77</v>
      </c>
      <c r="B39">
        <v>3085</v>
      </c>
      <c r="C39">
        <v>3602</v>
      </c>
      <c r="D39">
        <v>4241</v>
      </c>
    </row>
    <row r="40" spans="1:4" x14ac:dyDescent="0.25">
      <c r="A40" t="s">
        <v>110</v>
      </c>
      <c r="B40">
        <v>26569</v>
      </c>
    </row>
    <row r="41" spans="1:4" x14ac:dyDescent="0.25">
      <c r="A41" t="s">
        <v>151</v>
      </c>
      <c r="B41">
        <v>21418</v>
      </c>
      <c r="C41">
        <v>22096</v>
      </c>
      <c r="D41">
        <v>22238</v>
      </c>
    </row>
    <row r="42" spans="1:4" x14ac:dyDescent="0.25">
      <c r="A42" t="s">
        <v>109</v>
      </c>
      <c r="B42">
        <v>962</v>
      </c>
      <c r="C42">
        <v>999</v>
      </c>
    </row>
    <row r="43" spans="1:4" x14ac:dyDescent="0.25">
      <c r="A43" t="s">
        <v>76</v>
      </c>
      <c r="B43">
        <v>1831</v>
      </c>
      <c r="C43">
        <v>2128</v>
      </c>
      <c r="D43">
        <v>2251</v>
      </c>
    </row>
    <row r="44" spans="1:4" x14ac:dyDescent="0.25">
      <c r="A44" t="s">
        <v>204</v>
      </c>
      <c r="B44">
        <v>23</v>
      </c>
    </row>
    <row r="45" spans="1:4" x14ac:dyDescent="0.25">
      <c r="A45" t="s">
        <v>23</v>
      </c>
      <c r="B45">
        <v>2081</v>
      </c>
      <c r="C45">
        <v>2229</v>
      </c>
      <c r="D45">
        <v>2362</v>
      </c>
    </row>
    <row r="46" spans="1:4" x14ac:dyDescent="0.25">
      <c r="A46" t="s">
        <v>75</v>
      </c>
      <c r="B46">
        <v>970</v>
      </c>
      <c r="C46">
        <v>986</v>
      </c>
      <c r="D46">
        <v>1016</v>
      </c>
    </row>
    <row r="47" spans="1:4" x14ac:dyDescent="0.25">
      <c r="A47" t="s">
        <v>74</v>
      </c>
      <c r="B47">
        <v>80</v>
      </c>
    </row>
    <row r="48" spans="1:4" x14ac:dyDescent="0.25">
      <c r="A48" t="s">
        <v>130</v>
      </c>
      <c r="B48">
        <v>1667</v>
      </c>
      <c r="C48">
        <v>1862</v>
      </c>
      <c r="D48">
        <v>2157</v>
      </c>
    </row>
    <row r="49" spans="1:4" x14ac:dyDescent="0.25">
      <c r="A49" t="s">
        <v>21</v>
      </c>
      <c r="B49">
        <v>6391</v>
      </c>
    </row>
    <row r="50" spans="1:4" x14ac:dyDescent="0.25">
      <c r="A50" t="s">
        <v>72</v>
      </c>
      <c r="B50">
        <v>871</v>
      </c>
      <c r="C50">
        <v>925</v>
      </c>
      <c r="D50">
        <v>957</v>
      </c>
    </row>
    <row r="51" spans="1:4" x14ac:dyDescent="0.25">
      <c r="A51" t="s">
        <v>71</v>
      </c>
      <c r="B51">
        <v>8010</v>
      </c>
      <c r="C51">
        <v>9305</v>
      </c>
      <c r="D51">
        <v>10654</v>
      </c>
    </row>
    <row r="52" spans="1:4" x14ac:dyDescent="0.25">
      <c r="A52" t="s">
        <v>70</v>
      </c>
      <c r="B52">
        <v>863</v>
      </c>
      <c r="C52">
        <v>903</v>
      </c>
      <c r="D52">
        <v>933</v>
      </c>
    </row>
    <row r="53" spans="1:4" x14ac:dyDescent="0.25">
      <c r="A53" t="s">
        <v>69</v>
      </c>
      <c r="B53">
        <v>6465</v>
      </c>
      <c r="C53">
        <v>7244</v>
      </c>
      <c r="D53">
        <v>8007</v>
      </c>
    </row>
    <row r="54" spans="1:4" x14ac:dyDescent="0.25">
      <c r="A54" t="s">
        <v>9</v>
      </c>
      <c r="B54">
        <v>2738</v>
      </c>
    </row>
    <row r="55" spans="1:4" x14ac:dyDescent="0.25">
      <c r="A55" t="s">
        <v>114</v>
      </c>
      <c r="B55">
        <v>7186</v>
      </c>
    </row>
    <row r="56" spans="1:4" x14ac:dyDescent="0.25">
      <c r="A56" t="s">
        <v>107</v>
      </c>
      <c r="B56">
        <v>4057</v>
      </c>
      <c r="C56">
        <v>4603</v>
      </c>
    </row>
    <row r="57" spans="1:4" x14ac:dyDescent="0.25">
      <c r="A57" t="s">
        <v>68</v>
      </c>
      <c r="B57">
        <v>2412</v>
      </c>
    </row>
    <row r="58" spans="1:4" x14ac:dyDescent="0.25">
      <c r="A58" t="s">
        <v>67</v>
      </c>
      <c r="B58">
        <v>1692</v>
      </c>
      <c r="C58">
        <v>1808</v>
      </c>
      <c r="D58">
        <v>1921</v>
      </c>
    </row>
    <row r="59" spans="1:4" x14ac:dyDescent="0.25">
      <c r="A59" t="s">
        <v>2</v>
      </c>
      <c r="B59">
        <f>SUM(B2:B58)</f>
        <v>328615</v>
      </c>
      <c r="C59">
        <f>SUM(C2:C58)</f>
        <v>165342</v>
      </c>
      <c r="D59">
        <f>SUM(D2:D58)</f>
        <v>155865</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2:F195"/>
  <sheetViews>
    <sheetView workbookViewId="0">
      <selection activeCell="D25" sqref="D25"/>
    </sheetView>
  </sheetViews>
  <sheetFormatPr defaultRowHeight="15" x14ac:dyDescent="0.25"/>
  <cols>
    <col min="4" max="4" width="12.7109375" bestFit="1" customWidth="1"/>
    <col min="5" max="5" width="10.7109375" bestFit="1" customWidth="1"/>
    <col min="6" max="6" width="15.42578125" customWidth="1"/>
  </cols>
  <sheetData>
    <row r="2" spans="1:6" x14ac:dyDescent="0.25">
      <c r="A2" t="s">
        <v>348</v>
      </c>
      <c r="B2" t="s">
        <v>347</v>
      </c>
      <c r="C2">
        <v>2007</v>
      </c>
      <c r="D2" t="s">
        <v>346</v>
      </c>
      <c r="E2" s="16" t="s">
        <v>345</v>
      </c>
      <c r="F2" t="s">
        <v>344</v>
      </c>
    </row>
    <row r="3" spans="1:6" x14ac:dyDescent="0.25">
      <c r="A3" s="17">
        <v>0.76</v>
      </c>
      <c r="B3">
        <v>0.75</v>
      </c>
      <c r="C3">
        <v>0.70000000000000007</v>
      </c>
      <c r="D3" s="16">
        <f t="shared" ref="D3:D34" si="0">(A3-B3)/B3</f>
        <v>1.3333333333333345E-2</v>
      </c>
      <c r="E3" s="16">
        <f t="shared" ref="E3:E34" si="1">(B3-C3)/C3</f>
        <v>7.1428571428571327E-2</v>
      </c>
      <c r="F3" s="16">
        <f>AVERAGE(D3:E3)</f>
        <v>4.2380952380952339E-2</v>
      </c>
    </row>
    <row r="4" spans="1:6" x14ac:dyDescent="0.25">
      <c r="A4" s="17">
        <v>0.97</v>
      </c>
      <c r="B4">
        <v>0.98</v>
      </c>
      <c r="C4">
        <v>0.97</v>
      </c>
      <c r="D4" s="16">
        <f t="shared" si="0"/>
        <v>-1.0204081632653071E-2</v>
      </c>
      <c r="E4" s="16">
        <f t="shared" si="1"/>
        <v>1.0309278350515474E-2</v>
      </c>
      <c r="F4" s="16">
        <v>0</v>
      </c>
    </row>
    <row r="5" spans="1:6" x14ac:dyDescent="0.25">
      <c r="A5">
        <v>0.88</v>
      </c>
      <c r="B5">
        <v>0.88</v>
      </c>
      <c r="C5">
        <v>0.92</v>
      </c>
      <c r="D5" s="16">
        <f t="shared" si="0"/>
        <v>0</v>
      </c>
      <c r="E5" s="16">
        <f t="shared" si="1"/>
        <v>-4.3478260869565251E-2</v>
      </c>
      <c r="F5" s="16">
        <f t="shared" ref="F5:F36" si="2">AVERAGE(D5:E5)</f>
        <v>-2.1739130434782625E-2</v>
      </c>
    </row>
    <row r="6" spans="1:6" x14ac:dyDescent="0.25">
      <c r="A6">
        <v>0.98</v>
      </c>
      <c r="B6">
        <v>0.98</v>
      </c>
      <c r="C6">
        <v>0.94000000000000006</v>
      </c>
      <c r="D6" s="16">
        <f t="shared" si="0"/>
        <v>0</v>
      </c>
      <c r="E6" s="16">
        <f t="shared" si="1"/>
        <v>4.2553191489361618E-2</v>
      </c>
      <c r="F6" s="16">
        <f t="shared" si="2"/>
        <v>2.1276595744680809E-2</v>
      </c>
    </row>
    <row r="7" spans="1:6" x14ac:dyDescent="0.25">
      <c r="A7">
        <v>0.77</v>
      </c>
      <c r="B7">
        <v>0.79</v>
      </c>
      <c r="C7">
        <v>0.88</v>
      </c>
      <c r="D7" s="16">
        <f t="shared" si="0"/>
        <v>-2.5316455696202552E-2</v>
      </c>
      <c r="E7" s="16">
        <f t="shared" si="1"/>
        <v>-0.10227272727272724</v>
      </c>
      <c r="F7" s="16">
        <f t="shared" si="2"/>
        <v>-6.3794591484464896E-2</v>
      </c>
    </row>
    <row r="8" spans="1:6" x14ac:dyDescent="0.25">
      <c r="A8">
        <v>0.99</v>
      </c>
      <c r="B8">
        <v>0.99</v>
      </c>
      <c r="C8">
        <v>0.99</v>
      </c>
      <c r="D8" s="16">
        <f t="shared" si="0"/>
        <v>0</v>
      </c>
      <c r="E8" s="16">
        <f t="shared" si="1"/>
        <v>0</v>
      </c>
      <c r="F8" s="16">
        <f t="shared" si="2"/>
        <v>0</v>
      </c>
    </row>
    <row r="9" spans="1:6" x14ac:dyDescent="0.25">
      <c r="A9">
        <v>0.99</v>
      </c>
      <c r="B9">
        <v>0.97</v>
      </c>
      <c r="C9">
        <v>0.98</v>
      </c>
      <c r="D9" s="16">
        <f t="shared" si="0"/>
        <v>2.0618556701030948E-2</v>
      </c>
      <c r="E9" s="16">
        <f t="shared" si="1"/>
        <v>-1.0204081632653071E-2</v>
      </c>
      <c r="F9" s="16">
        <f t="shared" si="2"/>
        <v>5.2072375341889387E-3</v>
      </c>
    </row>
    <row r="10" spans="1:6" x14ac:dyDescent="0.25">
      <c r="A10">
        <v>0.96</v>
      </c>
      <c r="B10">
        <v>0.94000000000000006</v>
      </c>
      <c r="C10">
        <v>0.93</v>
      </c>
      <c r="D10" s="16">
        <f t="shared" si="0"/>
        <v>2.127659574468075E-2</v>
      </c>
      <c r="E10" s="16">
        <f t="shared" si="1"/>
        <v>1.075268817204302E-2</v>
      </c>
      <c r="F10" s="16">
        <f t="shared" si="2"/>
        <v>1.6014641958361886E-2</v>
      </c>
    </row>
    <row r="11" spans="1:6" x14ac:dyDescent="0.25">
      <c r="A11">
        <v>0.94000000000000006</v>
      </c>
      <c r="B11">
        <v>0.94000000000000006</v>
      </c>
      <c r="C11">
        <v>0.94000000000000006</v>
      </c>
      <c r="D11" s="16">
        <f t="shared" si="0"/>
        <v>0</v>
      </c>
      <c r="E11" s="16">
        <f t="shared" si="1"/>
        <v>0</v>
      </c>
      <c r="F11" s="16">
        <f t="shared" si="2"/>
        <v>0</v>
      </c>
    </row>
    <row r="12" spans="1:6" x14ac:dyDescent="0.25">
      <c r="A12">
        <v>0.83000000000000007</v>
      </c>
      <c r="B12">
        <v>0.83000000000000007</v>
      </c>
      <c r="C12">
        <v>0.79</v>
      </c>
      <c r="D12" s="16">
        <f t="shared" si="0"/>
        <v>0</v>
      </c>
      <c r="E12" s="16">
        <f t="shared" si="1"/>
        <v>5.0632911392405104E-2</v>
      </c>
      <c r="F12" s="16">
        <f t="shared" si="2"/>
        <v>2.5316455696202552E-2</v>
      </c>
    </row>
    <row r="13" spans="1:6" x14ac:dyDescent="0.25">
      <c r="A13">
        <v>0.67</v>
      </c>
      <c r="B13">
        <v>0.66</v>
      </c>
      <c r="C13">
        <v>0.66</v>
      </c>
      <c r="D13" s="16">
        <f t="shared" si="0"/>
        <v>1.5151515151515164E-2</v>
      </c>
      <c r="E13" s="16">
        <f t="shared" si="1"/>
        <v>0</v>
      </c>
      <c r="F13" s="16">
        <f t="shared" si="2"/>
        <v>7.575757575757582E-3</v>
      </c>
    </row>
    <row r="14" spans="1:6" x14ac:dyDescent="0.25">
      <c r="A14">
        <v>0.98</v>
      </c>
      <c r="B14">
        <v>0.9</v>
      </c>
      <c r="C14">
        <v>0.96</v>
      </c>
      <c r="D14" s="16">
        <f t="shared" si="0"/>
        <v>8.8888888888888837E-2</v>
      </c>
      <c r="E14" s="16">
        <f t="shared" si="1"/>
        <v>-6.2499999999999944E-2</v>
      </c>
      <c r="F14" s="16">
        <f t="shared" si="2"/>
        <v>1.3194444444444446E-2</v>
      </c>
    </row>
    <row r="15" spans="1:6" x14ac:dyDescent="0.25">
      <c r="A15">
        <v>0.99</v>
      </c>
      <c r="B15">
        <v>0.99</v>
      </c>
      <c r="C15">
        <v>0.99</v>
      </c>
      <c r="D15" s="16">
        <f t="shared" si="0"/>
        <v>0</v>
      </c>
      <c r="E15" s="16">
        <f t="shared" si="1"/>
        <v>0</v>
      </c>
      <c r="F15" s="16">
        <f t="shared" si="2"/>
        <v>0</v>
      </c>
    </row>
    <row r="16" spans="1:6" x14ac:dyDescent="0.25">
      <c r="A16">
        <v>0.89</v>
      </c>
      <c r="B16">
        <v>0.89</v>
      </c>
      <c r="C16">
        <v>0.89</v>
      </c>
      <c r="D16" s="16">
        <f t="shared" si="0"/>
        <v>0</v>
      </c>
      <c r="E16" s="16">
        <f t="shared" si="1"/>
        <v>0</v>
      </c>
      <c r="F16" s="16">
        <f t="shared" si="2"/>
        <v>0</v>
      </c>
    </row>
    <row r="17" spans="1:6" x14ac:dyDescent="0.25">
      <c r="A17">
        <v>0.94000000000000006</v>
      </c>
      <c r="B17">
        <v>0.94000000000000006</v>
      </c>
      <c r="C17">
        <v>0.75</v>
      </c>
      <c r="D17" s="16">
        <f t="shared" si="0"/>
        <v>0</v>
      </c>
      <c r="E17" s="16">
        <f t="shared" si="1"/>
        <v>0.25333333333333341</v>
      </c>
      <c r="F17" s="16">
        <f t="shared" si="2"/>
        <v>0.12666666666666671</v>
      </c>
    </row>
    <row r="18" spans="1:6" x14ac:dyDescent="0.25">
      <c r="A18">
        <v>0.99</v>
      </c>
      <c r="B18">
        <v>0.99</v>
      </c>
      <c r="C18">
        <v>0.99</v>
      </c>
      <c r="D18" s="16">
        <f t="shared" si="0"/>
        <v>0</v>
      </c>
      <c r="E18" s="16">
        <f t="shared" si="1"/>
        <v>0</v>
      </c>
      <c r="F18" s="16">
        <f t="shared" si="2"/>
        <v>0</v>
      </c>
    </row>
    <row r="19" spans="1:6" x14ac:dyDescent="0.25">
      <c r="A19">
        <v>0.94000000000000006</v>
      </c>
      <c r="B19">
        <v>0.93</v>
      </c>
      <c r="C19">
        <v>0.92</v>
      </c>
      <c r="D19" s="16">
        <f t="shared" si="0"/>
        <v>1.075268817204302E-2</v>
      </c>
      <c r="E19" s="16">
        <f t="shared" si="1"/>
        <v>1.0869565217391313E-2</v>
      </c>
      <c r="F19" s="16">
        <f t="shared" si="2"/>
        <v>1.0811126694717167E-2</v>
      </c>
    </row>
    <row r="20" spans="1:6" x14ac:dyDescent="0.25">
      <c r="A20">
        <v>0.97</v>
      </c>
      <c r="B20">
        <v>0.96</v>
      </c>
      <c r="C20">
        <v>0.96</v>
      </c>
      <c r="D20" s="16">
        <f t="shared" si="0"/>
        <v>1.0416666666666676E-2</v>
      </c>
      <c r="E20" s="16">
        <f t="shared" si="1"/>
        <v>0</v>
      </c>
      <c r="F20" s="16">
        <f t="shared" si="2"/>
        <v>5.2083333333333382E-3</v>
      </c>
    </row>
    <row r="21" spans="1:6" x14ac:dyDescent="0.25">
      <c r="A21">
        <v>0.72</v>
      </c>
      <c r="B21">
        <v>0.66</v>
      </c>
      <c r="C21">
        <v>0.70000000000000007</v>
      </c>
      <c r="D21" s="16">
        <f t="shared" si="0"/>
        <v>9.0909090909090814E-2</v>
      </c>
      <c r="E21" s="16">
        <f t="shared" si="1"/>
        <v>-5.714285714285719E-2</v>
      </c>
      <c r="F21" s="16">
        <f t="shared" si="2"/>
        <v>1.6883116883116812E-2</v>
      </c>
    </row>
    <row r="22" spans="1:6" x14ac:dyDescent="0.25">
      <c r="A22">
        <v>0.98</v>
      </c>
      <c r="B22">
        <v>0.99</v>
      </c>
      <c r="C22">
        <v>0.95000000000000007</v>
      </c>
      <c r="D22" s="16">
        <f t="shared" si="0"/>
        <v>-1.0101010101010111E-2</v>
      </c>
      <c r="E22" s="16">
        <f t="shared" si="1"/>
        <v>4.2105263157894653E-2</v>
      </c>
      <c r="F22" s="16">
        <f t="shared" si="2"/>
        <v>1.6002126528442271E-2</v>
      </c>
    </row>
    <row r="23" spans="1:6" x14ac:dyDescent="0.25">
      <c r="A23">
        <v>0.86</v>
      </c>
      <c r="B23">
        <v>0.87</v>
      </c>
      <c r="C23">
        <v>0.83000000000000007</v>
      </c>
      <c r="D23" s="16">
        <f t="shared" si="0"/>
        <v>-1.1494252873563229E-2</v>
      </c>
      <c r="E23" s="16">
        <f t="shared" si="1"/>
        <v>4.8192771084337255E-2</v>
      </c>
      <c r="F23" s="16">
        <f t="shared" si="2"/>
        <v>1.8349259105387011E-2</v>
      </c>
    </row>
    <row r="24" spans="1:6" x14ac:dyDescent="0.25">
      <c r="A24">
        <v>0.93</v>
      </c>
      <c r="B24">
        <v>0.84</v>
      </c>
      <c r="C24">
        <v>0.96</v>
      </c>
      <c r="D24" s="16">
        <f t="shared" si="0"/>
        <v>0.10714285714285725</v>
      </c>
      <c r="E24" s="16">
        <f t="shared" si="1"/>
        <v>-0.125</v>
      </c>
      <c r="F24" s="16">
        <f t="shared" si="2"/>
        <v>-8.928571428571376E-3</v>
      </c>
    </row>
    <row r="25" spans="1:6" x14ac:dyDescent="0.25">
      <c r="A25">
        <v>0.94000000000000006</v>
      </c>
      <c r="B25">
        <v>0.94000000000000006</v>
      </c>
      <c r="C25">
        <v>0.94000000000000006</v>
      </c>
      <c r="D25" s="16">
        <f t="shared" si="0"/>
        <v>0</v>
      </c>
      <c r="E25" s="16">
        <f t="shared" si="1"/>
        <v>0</v>
      </c>
      <c r="F25" s="16">
        <f t="shared" si="2"/>
        <v>0</v>
      </c>
    </row>
    <row r="26" spans="1:6" x14ac:dyDescent="0.25">
      <c r="A26">
        <v>0.99</v>
      </c>
      <c r="B26">
        <v>0.99</v>
      </c>
      <c r="C26">
        <v>0.99</v>
      </c>
      <c r="D26" s="16">
        <f t="shared" si="0"/>
        <v>0</v>
      </c>
      <c r="E26" s="16">
        <f t="shared" si="1"/>
        <v>0</v>
      </c>
      <c r="F26" s="16">
        <f t="shared" si="2"/>
        <v>0</v>
      </c>
    </row>
    <row r="27" spans="1:6" x14ac:dyDescent="0.25">
      <c r="A27">
        <v>0.99</v>
      </c>
      <c r="B27">
        <v>0.99</v>
      </c>
      <c r="C27">
        <v>0.99</v>
      </c>
      <c r="D27" s="16">
        <f t="shared" si="0"/>
        <v>0</v>
      </c>
      <c r="E27" s="16">
        <f t="shared" si="1"/>
        <v>0</v>
      </c>
      <c r="F27" s="16">
        <f t="shared" si="2"/>
        <v>0</v>
      </c>
    </row>
    <row r="28" spans="1:6" x14ac:dyDescent="0.25">
      <c r="A28">
        <v>0.96</v>
      </c>
      <c r="B28">
        <v>0.96</v>
      </c>
      <c r="C28">
        <v>0.96</v>
      </c>
      <c r="D28" s="16">
        <f t="shared" si="0"/>
        <v>0</v>
      </c>
      <c r="E28" s="16">
        <f t="shared" si="1"/>
        <v>0</v>
      </c>
      <c r="F28" s="16">
        <f t="shared" si="2"/>
        <v>0</v>
      </c>
    </row>
    <row r="29" spans="1:6" x14ac:dyDescent="0.25">
      <c r="A29">
        <v>0.75</v>
      </c>
      <c r="B29">
        <v>0.75</v>
      </c>
      <c r="C29">
        <v>0.75</v>
      </c>
      <c r="D29" s="16">
        <f t="shared" si="0"/>
        <v>0</v>
      </c>
      <c r="E29" s="16">
        <f t="shared" si="1"/>
        <v>0</v>
      </c>
      <c r="F29" s="16">
        <f t="shared" si="2"/>
        <v>0</v>
      </c>
    </row>
    <row r="30" spans="1:6" x14ac:dyDescent="0.25">
      <c r="A30">
        <v>0.91</v>
      </c>
      <c r="B30">
        <v>0.84</v>
      </c>
      <c r="C30">
        <v>0.88</v>
      </c>
      <c r="D30" s="16">
        <f t="shared" si="0"/>
        <v>8.3333333333333412E-2</v>
      </c>
      <c r="E30" s="16">
        <f t="shared" si="1"/>
        <v>-4.5454545454545497E-2</v>
      </c>
      <c r="F30" s="16">
        <f t="shared" si="2"/>
        <v>1.8939393939393957E-2</v>
      </c>
    </row>
    <row r="31" spans="1:6" x14ac:dyDescent="0.25">
      <c r="A31">
        <v>0.92</v>
      </c>
      <c r="B31">
        <v>0.89</v>
      </c>
      <c r="C31">
        <v>0.79</v>
      </c>
      <c r="D31" s="16">
        <f t="shared" si="0"/>
        <v>3.3707865168539353E-2</v>
      </c>
      <c r="E31" s="16">
        <f t="shared" si="1"/>
        <v>0.12658227848101261</v>
      </c>
      <c r="F31" s="16">
        <f t="shared" si="2"/>
        <v>8.0145071824775982E-2</v>
      </c>
    </row>
    <row r="32" spans="1:6" x14ac:dyDescent="0.25">
      <c r="A32">
        <v>0.74</v>
      </c>
      <c r="B32">
        <v>0.8</v>
      </c>
      <c r="C32">
        <v>0.74</v>
      </c>
      <c r="D32" s="16">
        <f t="shared" si="0"/>
        <v>-7.5000000000000067E-2</v>
      </c>
      <c r="E32" s="16">
        <f t="shared" si="1"/>
        <v>8.1081081081081155E-2</v>
      </c>
      <c r="F32" s="16">
        <f t="shared" si="2"/>
        <v>3.0405405405405442E-3</v>
      </c>
    </row>
    <row r="33" spans="1:6" x14ac:dyDescent="0.25">
      <c r="A33">
        <v>0.93</v>
      </c>
      <c r="B33">
        <v>0.93</v>
      </c>
      <c r="C33">
        <v>0.94000000000000006</v>
      </c>
      <c r="D33" s="16">
        <f t="shared" si="0"/>
        <v>0</v>
      </c>
      <c r="E33" s="16">
        <f t="shared" si="1"/>
        <v>-1.0638297872340434E-2</v>
      </c>
      <c r="F33" s="16">
        <f t="shared" si="2"/>
        <v>-5.319148936170217E-3</v>
      </c>
    </row>
    <row r="34" spans="1:6" x14ac:dyDescent="0.25">
      <c r="A34">
        <v>0.96</v>
      </c>
      <c r="B34">
        <v>0.96</v>
      </c>
      <c r="C34">
        <v>0.95000000000000007</v>
      </c>
      <c r="D34" s="16">
        <f t="shared" si="0"/>
        <v>0</v>
      </c>
      <c r="E34" s="16">
        <f t="shared" si="1"/>
        <v>1.0526315789473576E-2</v>
      </c>
      <c r="F34" s="16">
        <f t="shared" si="2"/>
        <v>5.2631578947367882E-3</v>
      </c>
    </row>
    <row r="35" spans="1:6" x14ac:dyDescent="0.25">
      <c r="A35">
        <v>0.62</v>
      </c>
      <c r="B35">
        <v>0.62</v>
      </c>
      <c r="C35">
        <v>0.62</v>
      </c>
      <c r="D35" s="16">
        <f t="shared" ref="D35:D66" si="3">(A35-B35)/B35</f>
        <v>0</v>
      </c>
      <c r="E35" s="16">
        <f t="shared" ref="E35:E66" si="4">(B35-C35)/C35</f>
        <v>0</v>
      </c>
      <c r="F35" s="16">
        <f t="shared" si="2"/>
        <v>0</v>
      </c>
    </row>
    <row r="36" spans="1:6" x14ac:dyDescent="0.25">
      <c r="A36">
        <v>0.23</v>
      </c>
      <c r="B36">
        <v>0.23</v>
      </c>
      <c r="C36">
        <v>0.23</v>
      </c>
      <c r="D36" s="16">
        <f t="shared" si="3"/>
        <v>0</v>
      </c>
      <c r="E36" s="16">
        <f t="shared" si="4"/>
        <v>0</v>
      </c>
      <c r="F36" s="16">
        <f t="shared" si="2"/>
        <v>0</v>
      </c>
    </row>
    <row r="37" spans="1:6" x14ac:dyDescent="0.25">
      <c r="A37">
        <v>0.96</v>
      </c>
      <c r="B37">
        <v>0.96</v>
      </c>
      <c r="C37">
        <v>0.92</v>
      </c>
      <c r="D37" s="16">
        <f t="shared" si="3"/>
        <v>0</v>
      </c>
      <c r="E37" s="16">
        <f t="shared" si="4"/>
        <v>4.3478260869565133E-2</v>
      </c>
      <c r="F37" s="16">
        <f t="shared" ref="F37:F68" si="5">AVERAGE(D37:E37)</f>
        <v>2.1739130434782566E-2</v>
      </c>
    </row>
    <row r="38" spans="1:6" x14ac:dyDescent="0.25">
      <c r="A38">
        <v>0.94000000000000006</v>
      </c>
      <c r="B38">
        <v>0.94000000000000006</v>
      </c>
      <c r="C38">
        <v>0.94000000000000006</v>
      </c>
      <c r="D38" s="16">
        <f t="shared" si="3"/>
        <v>0</v>
      </c>
      <c r="E38" s="16">
        <f t="shared" si="4"/>
        <v>0</v>
      </c>
      <c r="F38" s="16">
        <f t="shared" si="5"/>
        <v>0</v>
      </c>
    </row>
    <row r="39" spans="1:6" x14ac:dyDescent="0.25">
      <c r="A39">
        <v>0.95000000000000007</v>
      </c>
      <c r="B39">
        <v>0.92</v>
      </c>
      <c r="C39">
        <v>0.95000000000000007</v>
      </c>
      <c r="D39" s="16">
        <f t="shared" si="3"/>
        <v>3.260869565217394E-2</v>
      </c>
      <c r="E39" s="16">
        <f t="shared" si="4"/>
        <v>-3.1578947368421081E-2</v>
      </c>
      <c r="F39" s="16">
        <f t="shared" si="5"/>
        <v>5.1487414187642924E-4</v>
      </c>
    </row>
    <row r="40" spans="1:6" x14ac:dyDescent="0.25">
      <c r="A40">
        <v>0.79</v>
      </c>
      <c r="B40">
        <v>0.76</v>
      </c>
      <c r="C40">
        <v>0.65</v>
      </c>
      <c r="D40" s="16">
        <f t="shared" si="3"/>
        <v>3.9473684210526348E-2</v>
      </c>
      <c r="E40" s="16">
        <f t="shared" si="4"/>
        <v>0.16923076923076921</v>
      </c>
      <c r="F40" s="16">
        <f t="shared" si="5"/>
        <v>0.10435222672064778</v>
      </c>
    </row>
    <row r="41" spans="1:6" x14ac:dyDescent="0.25">
      <c r="A41">
        <v>0.76</v>
      </c>
      <c r="B41">
        <v>0.79</v>
      </c>
      <c r="C41">
        <v>0.67</v>
      </c>
      <c r="D41" s="16">
        <f t="shared" si="3"/>
        <v>-3.7974683544303826E-2</v>
      </c>
      <c r="E41" s="16">
        <f t="shared" si="4"/>
        <v>0.17910447761194029</v>
      </c>
      <c r="F41" s="16">
        <f t="shared" si="5"/>
        <v>7.0564897033818227E-2</v>
      </c>
    </row>
    <row r="42" spans="1:6" x14ac:dyDescent="0.25">
      <c r="A42">
        <v>0.78</v>
      </c>
      <c r="B42">
        <v>0.95000000000000007</v>
      </c>
      <c r="C42">
        <v>0.98</v>
      </c>
      <c r="D42" s="16">
        <f t="shared" si="3"/>
        <v>-0.17894736842105266</v>
      </c>
      <c r="E42" s="16">
        <f t="shared" si="4"/>
        <v>-3.06122448979591E-2</v>
      </c>
      <c r="F42" s="16">
        <f t="shared" si="5"/>
        <v>-0.10477980665950588</v>
      </c>
    </row>
    <row r="43" spans="1:6" x14ac:dyDescent="0.25">
      <c r="A43">
        <v>0.81</v>
      </c>
      <c r="B43">
        <v>0.89</v>
      </c>
      <c r="C43">
        <v>0.9</v>
      </c>
      <c r="D43" s="16">
        <f t="shared" si="3"/>
        <v>-8.9887640449438158E-2</v>
      </c>
      <c r="E43" s="16">
        <f t="shared" si="4"/>
        <v>-1.111111111111112E-2</v>
      </c>
      <c r="F43" s="16">
        <f t="shared" si="5"/>
        <v>-5.0499375780274636E-2</v>
      </c>
    </row>
    <row r="44" spans="1:6" x14ac:dyDescent="0.25">
      <c r="A44">
        <v>0.98</v>
      </c>
      <c r="B44">
        <v>0.98</v>
      </c>
      <c r="C44">
        <v>0.96</v>
      </c>
      <c r="D44" s="16">
        <f t="shared" si="3"/>
        <v>0</v>
      </c>
      <c r="E44" s="16">
        <f t="shared" si="4"/>
        <v>2.0833333333333353E-2</v>
      </c>
      <c r="F44" s="16">
        <f t="shared" si="5"/>
        <v>1.0416666666666676E-2</v>
      </c>
    </row>
    <row r="45" spans="1:6" x14ac:dyDescent="0.25">
      <c r="A45">
        <v>0.96</v>
      </c>
      <c r="B45">
        <v>0.96</v>
      </c>
      <c r="C45">
        <v>0.96</v>
      </c>
      <c r="D45" s="16">
        <f t="shared" si="3"/>
        <v>0</v>
      </c>
      <c r="E45" s="16">
        <f t="shared" si="4"/>
        <v>0</v>
      </c>
      <c r="F45" s="16">
        <f t="shared" si="5"/>
        <v>0</v>
      </c>
    </row>
    <row r="46" spans="1:6" x14ac:dyDescent="0.25">
      <c r="A46">
        <v>0.87</v>
      </c>
      <c r="B46">
        <v>0.87</v>
      </c>
      <c r="C46">
        <v>0.87</v>
      </c>
      <c r="D46" s="16">
        <f t="shared" si="3"/>
        <v>0</v>
      </c>
      <c r="E46" s="16">
        <f t="shared" si="4"/>
        <v>0</v>
      </c>
      <c r="F46" s="16">
        <f t="shared" si="5"/>
        <v>0</v>
      </c>
    </row>
    <row r="47" spans="1:6" x14ac:dyDescent="0.25">
      <c r="A47">
        <v>0.98</v>
      </c>
      <c r="B47">
        <v>0.97</v>
      </c>
      <c r="C47">
        <v>0.98</v>
      </c>
      <c r="D47" s="16">
        <f t="shared" si="3"/>
        <v>1.0309278350515474E-2</v>
      </c>
      <c r="E47" s="16">
        <f t="shared" si="4"/>
        <v>-1.0204081632653071E-2</v>
      </c>
      <c r="F47" s="16">
        <f t="shared" si="5"/>
        <v>5.2598358931201655E-5</v>
      </c>
    </row>
    <row r="48" spans="1:6" x14ac:dyDescent="0.25">
      <c r="A48">
        <v>0.67</v>
      </c>
      <c r="B48">
        <v>0.63</v>
      </c>
      <c r="C48">
        <v>0.67</v>
      </c>
      <c r="D48" s="16">
        <f t="shared" si="3"/>
        <v>6.3492063492063544E-2</v>
      </c>
      <c r="E48" s="16">
        <f t="shared" si="4"/>
        <v>-5.970149253731348E-2</v>
      </c>
      <c r="F48" s="16">
        <f t="shared" si="5"/>
        <v>1.8952854773750319E-3</v>
      </c>
    </row>
    <row r="49" spans="1:6" x14ac:dyDescent="0.25">
      <c r="A49">
        <v>0.98</v>
      </c>
      <c r="B49">
        <v>0.98</v>
      </c>
      <c r="C49">
        <v>0.99</v>
      </c>
      <c r="D49" s="16">
        <f t="shared" si="3"/>
        <v>0</v>
      </c>
      <c r="E49" s="16">
        <f t="shared" si="4"/>
        <v>-1.0101010101010111E-2</v>
      </c>
      <c r="F49" s="16">
        <f t="shared" si="5"/>
        <v>-5.0505050505050553E-3</v>
      </c>
    </row>
    <row r="50" spans="1:6" x14ac:dyDescent="0.25">
      <c r="A50">
        <v>0.76</v>
      </c>
      <c r="B50">
        <v>0.67</v>
      </c>
      <c r="C50">
        <v>0.69000000000000006</v>
      </c>
      <c r="D50" s="16">
        <f t="shared" si="3"/>
        <v>0.13432835820895517</v>
      </c>
      <c r="E50" s="16">
        <f t="shared" si="4"/>
        <v>-2.8985507246376836E-2</v>
      </c>
      <c r="F50" s="16">
        <f t="shared" si="5"/>
        <v>5.2671425481289169E-2</v>
      </c>
    </row>
    <row r="51" spans="1:6" x14ac:dyDescent="0.25">
      <c r="A51">
        <v>0.84</v>
      </c>
      <c r="B51">
        <v>0.87</v>
      </c>
      <c r="C51">
        <v>0.89</v>
      </c>
      <c r="D51" s="16">
        <f t="shared" si="3"/>
        <v>-3.4482758620689689E-2</v>
      </c>
      <c r="E51" s="16">
        <f t="shared" si="4"/>
        <v>-2.2471910112359571E-2</v>
      </c>
      <c r="F51" s="16">
        <f t="shared" si="5"/>
        <v>-2.847733436652463E-2</v>
      </c>
    </row>
    <row r="52" spans="1:6" x14ac:dyDescent="0.25">
      <c r="A52">
        <v>0.73</v>
      </c>
      <c r="B52">
        <v>0.73</v>
      </c>
      <c r="C52">
        <v>0.74</v>
      </c>
      <c r="D52" s="16">
        <f t="shared" si="3"/>
        <v>0</v>
      </c>
      <c r="E52" s="16">
        <f t="shared" si="4"/>
        <v>-1.3513513513513526E-2</v>
      </c>
      <c r="F52" s="16">
        <f t="shared" si="5"/>
        <v>-6.7567567567567632E-3</v>
      </c>
    </row>
    <row r="53" spans="1:6" x14ac:dyDescent="0.25">
      <c r="A53">
        <v>0.99</v>
      </c>
      <c r="B53">
        <v>0.99</v>
      </c>
      <c r="C53">
        <v>0.96</v>
      </c>
      <c r="D53" s="16">
        <f t="shared" si="3"/>
        <v>0</v>
      </c>
      <c r="E53" s="16">
        <f t="shared" si="4"/>
        <v>3.1250000000000028E-2</v>
      </c>
      <c r="F53" s="16">
        <f t="shared" si="5"/>
        <v>1.5625000000000014E-2</v>
      </c>
    </row>
    <row r="54" spans="1:6" x14ac:dyDescent="0.25">
      <c r="A54">
        <v>0.79</v>
      </c>
      <c r="B54">
        <v>0.79</v>
      </c>
      <c r="C54">
        <v>0.79</v>
      </c>
      <c r="D54" s="16">
        <f t="shared" si="3"/>
        <v>0</v>
      </c>
      <c r="E54" s="16">
        <f t="shared" si="4"/>
        <v>0</v>
      </c>
      <c r="F54" s="16">
        <f t="shared" si="5"/>
        <v>0</v>
      </c>
    </row>
    <row r="55" spans="1:6" x14ac:dyDescent="0.25">
      <c r="A55">
        <v>0.66</v>
      </c>
      <c r="B55">
        <v>0.66</v>
      </c>
      <c r="C55">
        <v>0.66</v>
      </c>
      <c r="D55" s="16">
        <f t="shared" si="3"/>
        <v>0</v>
      </c>
      <c r="E55" s="16">
        <f t="shared" si="4"/>
        <v>0</v>
      </c>
      <c r="F55" s="16">
        <f t="shared" si="5"/>
        <v>0</v>
      </c>
    </row>
    <row r="56" spans="1:6" x14ac:dyDescent="0.25">
      <c r="A56">
        <v>0.95000000000000007</v>
      </c>
      <c r="B56">
        <v>0.92</v>
      </c>
      <c r="C56">
        <v>0.97</v>
      </c>
      <c r="D56" s="16">
        <f t="shared" si="3"/>
        <v>3.260869565217394E-2</v>
      </c>
      <c r="E56" s="16">
        <f t="shared" si="4"/>
        <v>-5.1546391752577254E-2</v>
      </c>
      <c r="F56" s="16">
        <f t="shared" si="5"/>
        <v>-9.4688480502016573E-3</v>
      </c>
    </row>
    <row r="57" spans="1:6" x14ac:dyDescent="0.25">
      <c r="A57">
        <v>0.95000000000000007</v>
      </c>
      <c r="B57">
        <v>0.95000000000000007</v>
      </c>
      <c r="C57">
        <v>0.99</v>
      </c>
      <c r="D57" s="16">
        <f t="shared" si="3"/>
        <v>0</v>
      </c>
      <c r="E57" s="16">
        <f t="shared" si="4"/>
        <v>-4.0404040404040331E-2</v>
      </c>
      <c r="F57" s="16">
        <f t="shared" si="5"/>
        <v>-2.0202020202020166E-2</v>
      </c>
    </row>
    <row r="58" spans="1:6" x14ac:dyDescent="0.25">
      <c r="A58">
        <v>0.51</v>
      </c>
      <c r="B58">
        <v>0.51</v>
      </c>
      <c r="C58">
        <v>0.51</v>
      </c>
      <c r="D58" s="16">
        <f t="shared" si="3"/>
        <v>0</v>
      </c>
      <c r="E58" s="16">
        <f t="shared" si="4"/>
        <v>0</v>
      </c>
      <c r="F58" s="16">
        <f t="shared" si="5"/>
        <v>0</v>
      </c>
    </row>
    <row r="59" spans="1:6" x14ac:dyDescent="0.25">
      <c r="A59">
        <v>0.95000000000000007</v>
      </c>
      <c r="B59">
        <v>0.95000000000000007</v>
      </c>
      <c r="C59">
        <v>0.95000000000000007</v>
      </c>
      <c r="D59" s="16">
        <f t="shared" si="3"/>
        <v>0</v>
      </c>
      <c r="E59" s="16">
        <f t="shared" si="4"/>
        <v>0</v>
      </c>
      <c r="F59" s="16">
        <f t="shared" si="5"/>
        <v>0</v>
      </c>
    </row>
    <row r="60" spans="1:6" x14ac:dyDescent="0.25">
      <c r="A60">
        <v>0.95000000000000007</v>
      </c>
      <c r="B60">
        <v>0.95000000000000007</v>
      </c>
      <c r="C60">
        <v>0.96</v>
      </c>
      <c r="D60" s="16">
        <f t="shared" si="3"/>
        <v>0</v>
      </c>
      <c r="E60" s="16">
        <f t="shared" si="4"/>
        <v>-1.041666666666656E-2</v>
      </c>
      <c r="F60" s="16">
        <f t="shared" si="5"/>
        <v>-5.2083333333332801E-3</v>
      </c>
    </row>
    <row r="61" spans="1:6" x14ac:dyDescent="0.25">
      <c r="A61">
        <v>0.75</v>
      </c>
      <c r="B61">
        <v>0.74</v>
      </c>
      <c r="C61">
        <v>0.65</v>
      </c>
      <c r="D61" s="16">
        <f t="shared" si="3"/>
        <v>1.3513513513513526E-2</v>
      </c>
      <c r="E61" s="16">
        <f t="shared" si="4"/>
        <v>0.13846153846153841</v>
      </c>
      <c r="F61" s="16">
        <f t="shared" si="5"/>
        <v>7.5987525987525964E-2</v>
      </c>
    </row>
    <row r="62" spans="1:6" x14ac:dyDescent="0.25">
      <c r="A62">
        <v>0.94000000000000006</v>
      </c>
      <c r="B62">
        <v>0.94000000000000006</v>
      </c>
      <c r="C62">
        <v>0.94000000000000006</v>
      </c>
      <c r="D62" s="16">
        <f t="shared" si="3"/>
        <v>0</v>
      </c>
      <c r="E62" s="16">
        <f t="shared" si="4"/>
        <v>0</v>
      </c>
      <c r="F62" s="16">
        <f t="shared" si="5"/>
        <v>0</v>
      </c>
    </row>
    <row r="63" spans="1:6" x14ac:dyDescent="0.25">
      <c r="A63">
        <v>0.98</v>
      </c>
      <c r="B63">
        <v>0.97</v>
      </c>
      <c r="C63">
        <v>0.98</v>
      </c>
      <c r="D63" s="16">
        <f t="shared" si="3"/>
        <v>1.0309278350515474E-2</v>
      </c>
      <c r="E63" s="16">
        <f t="shared" si="4"/>
        <v>-1.0204081632653071E-2</v>
      </c>
      <c r="F63" s="16">
        <f t="shared" si="5"/>
        <v>5.2598358931201655E-5</v>
      </c>
    </row>
    <row r="64" spans="1:6" x14ac:dyDescent="0.25">
      <c r="A64">
        <v>0.9</v>
      </c>
      <c r="B64">
        <v>0.87</v>
      </c>
      <c r="C64">
        <v>0.87</v>
      </c>
      <c r="D64" s="16">
        <f t="shared" si="3"/>
        <v>3.4482758620689689E-2</v>
      </c>
      <c r="E64" s="16">
        <f t="shared" si="4"/>
        <v>0</v>
      </c>
      <c r="F64" s="16">
        <f t="shared" si="5"/>
        <v>1.7241379310344845E-2</v>
      </c>
    </row>
    <row r="65" spans="1:6" x14ac:dyDescent="0.25">
      <c r="A65">
        <v>0.55000000000000004</v>
      </c>
      <c r="B65">
        <v>0.55000000000000004</v>
      </c>
      <c r="C65">
        <v>0.55000000000000004</v>
      </c>
      <c r="D65" s="16">
        <f t="shared" si="3"/>
        <v>0</v>
      </c>
      <c r="E65" s="16">
        <f t="shared" si="4"/>
        <v>0</v>
      </c>
      <c r="F65" s="16">
        <f t="shared" si="5"/>
        <v>0</v>
      </c>
    </row>
    <row r="66" spans="1:6" x14ac:dyDescent="0.25">
      <c r="A66">
        <v>0.96</v>
      </c>
      <c r="B66">
        <v>0.91</v>
      </c>
      <c r="C66">
        <v>0.85</v>
      </c>
      <c r="D66" s="16">
        <f t="shared" si="3"/>
        <v>5.4945054945054868E-2</v>
      </c>
      <c r="E66" s="16">
        <f t="shared" si="4"/>
        <v>7.0588235294117715E-2</v>
      </c>
      <c r="F66" s="16">
        <f t="shared" si="5"/>
        <v>6.2766645119586295E-2</v>
      </c>
    </row>
    <row r="67" spans="1:6" x14ac:dyDescent="0.25">
      <c r="A67">
        <v>0.83000000000000007</v>
      </c>
      <c r="B67">
        <v>0.96</v>
      </c>
      <c r="C67">
        <v>0.97</v>
      </c>
      <c r="D67" s="16">
        <f t="shared" ref="D67:D98" si="6">(A67-B67)/B67</f>
        <v>-0.13541666666666657</v>
      </c>
      <c r="E67" s="16">
        <f t="shared" ref="E67:E98" si="7">(B67-C67)/C67</f>
        <v>-1.0309278350515474E-2</v>
      </c>
      <c r="F67" s="16">
        <f t="shared" si="5"/>
        <v>-7.2862972508591028E-2</v>
      </c>
    </row>
    <row r="68" spans="1:6" x14ac:dyDescent="0.25">
      <c r="A68">
        <v>0.96</v>
      </c>
      <c r="B68">
        <v>0.96</v>
      </c>
      <c r="C68">
        <v>0.96</v>
      </c>
      <c r="D68" s="16">
        <f t="shared" si="6"/>
        <v>0</v>
      </c>
      <c r="E68" s="16">
        <f t="shared" si="7"/>
        <v>0</v>
      </c>
      <c r="F68" s="16">
        <f t="shared" si="5"/>
        <v>0</v>
      </c>
    </row>
    <row r="69" spans="1:6" x14ac:dyDescent="0.25">
      <c r="A69">
        <v>0.93</v>
      </c>
      <c r="B69">
        <v>0.86</v>
      </c>
      <c r="C69">
        <v>0.95000000000000007</v>
      </c>
      <c r="D69" s="16">
        <f t="shared" si="6"/>
        <v>8.1395348837209378E-2</v>
      </c>
      <c r="E69" s="16">
        <f t="shared" si="7"/>
        <v>-9.473684210526323E-2</v>
      </c>
      <c r="F69" s="16">
        <f t="shared" ref="F69:F100" si="8">AVERAGE(D69:E69)</f>
        <v>-6.6707466340269264E-3</v>
      </c>
    </row>
    <row r="70" spans="1:6" x14ac:dyDescent="0.25">
      <c r="A70">
        <v>0.99</v>
      </c>
      <c r="B70">
        <v>0.99</v>
      </c>
      <c r="C70">
        <v>0.99</v>
      </c>
      <c r="D70" s="16">
        <f t="shared" si="6"/>
        <v>0</v>
      </c>
      <c r="E70" s="16">
        <f t="shared" si="7"/>
        <v>0</v>
      </c>
      <c r="F70" s="16">
        <f t="shared" si="8"/>
        <v>0</v>
      </c>
    </row>
    <row r="71" spans="1:6" x14ac:dyDescent="0.25">
      <c r="A71">
        <v>0.99</v>
      </c>
      <c r="B71">
        <v>0.99</v>
      </c>
      <c r="C71">
        <v>0.98</v>
      </c>
      <c r="D71" s="16">
        <f t="shared" si="6"/>
        <v>0</v>
      </c>
      <c r="E71" s="16">
        <f t="shared" si="7"/>
        <v>1.0204081632653071E-2</v>
      </c>
      <c r="F71" s="16">
        <f t="shared" si="8"/>
        <v>5.1020408163265354E-3</v>
      </c>
    </row>
    <row r="72" spans="1:6" x14ac:dyDescent="0.25">
      <c r="A72">
        <v>0.92</v>
      </c>
      <c r="B72">
        <v>0.96</v>
      </c>
      <c r="C72">
        <v>0.93</v>
      </c>
      <c r="D72" s="16">
        <f t="shared" si="6"/>
        <v>-4.1666666666666588E-2</v>
      </c>
      <c r="E72" s="16">
        <f t="shared" si="7"/>
        <v>3.2258064516128941E-2</v>
      </c>
      <c r="F72" s="16">
        <f t="shared" si="8"/>
        <v>-4.7043010752688234E-3</v>
      </c>
    </row>
    <row r="73" spans="1:6" x14ac:dyDescent="0.25">
      <c r="A73">
        <v>0.51</v>
      </c>
      <c r="B73">
        <v>0.51</v>
      </c>
      <c r="C73">
        <v>0.51</v>
      </c>
      <c r="D73" s="16">
        <f t="shared" si="6"/>
        <v>0</v>
      </c>
      <c r="E73" s="16">
        <f t="shared" si="7"/>
        <v>0</v>
      </c>
      <c r="F73" s="16">
        <f t="shared" si="8"/>
        <v>0</v>
      </c>
    </row>
    <row r="74" spans="1:6" x14ac:dyDescent="0.25">
      <c r="A74">
        <v>0.76</v>
      </c>
      <c r="B74">
        <v>0.76</v>
      </c>
      <c r="C74">
        <v>0.76</v>
      </c>
      <c r="D74" s="16">
        <f t="shared" si="6"/>
        <v>0</v>
      </c>
      <c r="E74" s="16">
        <f t="shared" si="7"/>
        <v>0</v>
      </c>
      <c r="F74" s="16">
        <f t="shared" si="8"/>
        <v>0</v>
      </c>
    </row>
    <row r="75" spans="1:6" x14ac:dyDescent="0.25">
      <c r="A75">
        <v>0.97</v>
      </c>
      <c r="B75">
        <v>0.95000000000000007</v>
      </c>
      <c r="C75">
        <v>0.96</v>
      </c>
      <c r="D75" s="16">
        <f t="shared" si="6"/>
        <v>2.1052631578947267E-2</v>
      </c>
      <c r="E75" s="16">
        <f t="shared" si="7"/>
        <v>-1.041666666666656E-2</v>
      </c>
      <c r="F75" s="16">
        <f t="shared" si="8"/>
        <v>5.3179824561403535E-3</v>
      </c>
    </row>
    <row r="76" spans="1:6" x14ac:dyDescent="0.25">
      <c r="A76">
        <v>0.59</v>
      </c>
      <c r="B76">
        <v>0.59</v>
      </c>
      <c r="C76">
        <v>0.59</v>
      </c>
      <c r="D76" s="16">
        <f t="shared" si="6"/>
        <v>0</v>
      </c>
      <c r="E76" s="16">
        <f t="shared" si="7"/>
        <v>0</v>
      </c>
      <c r="F76" s="16">
        <f t="shared" si="8"/>
        <v>0</v>
      </c>
    </row>
    <row r="77" spans="1:6" x14ac:dyDescent="0.25">
      <c r="A77">
        <v>0.99</v>
      </c>
      <c r="B77">
        <v>0.95000000000000007</v>
      </c>
      <c r="C77">
        <v>0.96</v>
      </c>
      <c r="D77" s="16">
        <f t="shared" si="6"/>
        <v>4.2105263157894653E-2</v>
      </c>
      <c r="E77" s="16">
        <f t="shared" si="7"/>
        <v>-1.041666666666656E-2</v>
      </c>
      <c r="F77" s="16">
        <f t="shared" si="8"/>
        <v>1.5844298245614046E-2</v>
      </c>
    </row>
    <row r="78" spans="1:6" x14ac:dyDescent="0.25">
      <c r="A78">
        <v>0.99</v>
      </c>
      <c r="B78">
        <v>0.99</v>
      </c>
      <c r="C78">
        <v>0.99</v>
      </c>
      <c r="D78" s="16">
        <f t="shared" si="6"/>
        <v>0</v>
      </c>
      <c r="E78" s="16">
        <f t="shared" si="7"/>
        <v>0</v>
      </c>
      <c r="F78" s="16">
        <f t="shared" si="8"/>
        <v>0</v>
      </c>
    </row>
    <row r="79" spans="1:6" x14ac:dyDescent="0.25">
      <c r="A79">
        <v>0.92</v>
      </c>
      <c r="B79">
        <v>0.96</v>
      </c>
      <c r="C79">
        <v>0.95000000000000007</v>
      </c>
      <c r="D79" s="16">
        <f t="shared" si="6"/>
        <v>-4.1666666666666588E-2</v>
      </c>
      <c r="E79" s="16">
        <f t="shared" si="7"/>
        <v>1.0526315789473576E-2</v>
      </c>
      <c r="F79" s="16">
        <f t="shared" si="8"/>
        <v>-1.5570175438596505E-2</v>
      </c>
    </row>
    <row r="80" spans="1:6" x14ac:dyDescent="0.25">
      <c r="A80">
        <v>0.71</v>
      </c>
      <c r="B80">
        <v>0.71</v>
      </c>
      <c r="C80">
        <v>0.71</v>
      </c>
      <c r="D80" s="16">
        <f t="shared" si="6"/>
        <v>0</v>
      </c>
      <c r="E80" s="16">
        <f t="shared" si="7"/>
        <v>0</v>
      </c>
      <c r="F80" s="16">
        <f t="shared" si="8"/>
        <v>0</v>
      </c>
    </row>
    <row r="81" spans="1:6" x14ac:dyDescent="0.25">
      <c r="A81">
        <v>0.82000000000000006</v>
      </c>
      <c r="B81">
        <v>0.83000000000000007</v>
      </c>
      <c r="C81">
        <v>0.81</v>
      </c>
      <c r="D81" s="16">
        <f t="shared" si="6"/>
        <v>-1.2048192771084347E-2</v>
      </c>
      <c r="E81" s="16">
        <f t="shared" si="7"/>
        <v>2.4691358024691377E-2</v>
      </c>
      <c r="F81" s="16">
        <f t="shared" si="8"/>
        <v>6.3215826268035154E-3</v>
      </c>
    </row>
    <row r="82" spans="1:6" x14ac:dyDescent="0.25">
      <c r="A82">
        <v>0.99</v>
      </c>
      <c r="B82">
        <v>0.98</v>
      </c>
      <c r="C82">
        <v>0.97</v>
      </c>
      <c r="D82" s="16">
        <f t="shared" si="6"/>
        <v>1.0204081632653071E-2</v>
      </c>
      <c r="E82" s="16">
        <f t="shared" si="7"/>
        <v>1.0309278350515474E-2</v>
      </c>
      <c r="F82" s="16">
        <f t="shared" si="8"/>
        <v>1.0256679991584272E-2</v>
      </c>
    </row>
    <row r="83" spans="1:6" x14ac:dyDescent="0.25">
      <c r="A83">
        <v>0.69000000000000006</v>
      </c>
      <c r="B83">
        <v>0.69000000000000006</v>
      </c>
      <c r="C83">
        <v>0.69000000000000006</v>
      </c>
      <c r="D83" s="16">
        <f t="shared" si="6"/>
        <v>0</v>
      </c>
      <c r="E83" s="16">
        <f t="shared" si="7"/>
        <v>0</v>
      </c>
      <c r="F83" s="16">
        <f t="shared" si="8"/>
        <v>0</v>
      </c>
    </row>
    <row r="84" spans="1:6" x14ac:dyDescent="0.25">
      <c r="A84">
        <v>0.89</v>
      </c>
      <c r="B84">
        <v>0.89</v>
      </c>
      <c r="C84">
        <v>0.87</v>
      </c>
      <c r="D84" s="16">
        <f t="shared" si="6"/>
        <v>0</v>
      </c>
      <c r="E84" s="16">
        <f t="shared" si="7"/>
        <v>2.2988505747126457E-2</v>
      </c>
      <c r="F84" s="16">
        <f t="shared" si="8"/>
        <v>1.1494252873563229E-2</v>
      </c>
    </row>
    <row r="85" spans="1:6" x14ac:dyDescent="0.25">
      <c r="A85">
        <v>0.96</v>
      </c>
      <c r="B85">
        <v>0.96</v>
      </c>
      <c r="C85">
        <v>0.96</v>
      </c>
      <c r="D85" s="16">
        <f t="shared" si="6"/>
        <v>0</v>
      </c>
      <c r="E85" s="16">
        <f t="shared" si="7"/>
        <v>0</v>
      </c>
      <c r="F85" s="16">
        <f t="shared" si="8"/>
        <v>0</v>
      </c>
    </row>
    <row r="86" spans="1:6" x14ac:dyDescent="0.25">
      <c r="A86">
        <v>0.91</v>
      </c>
      <c r="B86">
        <v>0.9</v>
      </c>
      <c r="C86">
        <v>0.9</v>
      </c>
      <c r="D86" s="16">
        <f t="shared" si="6"/>
        <v>1.111111111111112E-2</v>
      </c>
      <c r="E86" s="16">
        <f t="shared" si="7"/>
        <v>0</v>
      </c>
      <c r="F86" s="16">
        <f t="shared" si="8"/>
        <v>5.5555555555555601E-3</v>
      </c>
    </row>
    <row r="87" spans="1:6" x14ac:dyDescent="0.25">
      <c r="A87">
        <v>0.88</v>
      </c>
      <c r="B87">
        <v>0.88</v>
      </c>
      <c r="C87">
        <v>0.76</v>
      </c>
      <c r="D87" s="16">
        <f t="shared" si="6"/>
        <v>0</v>
      </c>
      <c r="E87" s="16">
        <f t="shared" si="7"/>
        <v>0.15789473684210525</v>
      </c>
      <c r="F87" s="16">
        <f t="shared" si="8"/>
        <v>7.8947368421052627E-2</v>
      </c>
    </row>
    <row r="88" spans="1:6" x14ac:dyDescent="0.25">
      <c r="A88">
        <v>0.94000000000000006</v>
      </c>
      <c r="B88">
        <v>0.95000000000000007</v>
      </c>
      <c r="C88">
        <v>0.96</v>
      </c>
      <c r="D88" s="16">
        <f t="shared" si="6"/>
        <v>-1.0526315789473693E-2</v>
      </c>
      <c r="E88" s="16">
        <f t="shared" si="7"/>
        <v>-1.041666666666656E-2</v>
      </c>
      <c r="F88" s="16">
        <f t="shared" si="8"/>
        <v>-1.0471491228070126E-2</v>
      </c>
    </row>
    <row r="89" spans="1:6" x14ac:dyDescent="0.25">
      <c r="A89">
        <v>0.95000000000000007</v>
      </c>
      <c r="B89">
        <v>0.95000000000000007</v>
      </c>
      <c r="C89">
        <v>0.95000000000000007</v>
      </c>
      <c r="D89" s="16">
        <f t="shared" si="6"/>
        <v>0</v>
      </c>
      <c r="E89" s="16">
        <f t="shared" si="7"/>
        <v>0</v>
      </c>
      <c r="F89" s="16">
        <f t="shared" si="8"/>
        <v>0</v>
      </c>
    </row>
    <row r="90" spans="1:6" x14ac:dyDescent="0.25">
      <c r="A90">
        <v>0.99</v>
      </c>
      <c r="B90">
        <v>0.99</v>
      </c>
      <c r="C90">
        <v>0.99</v>
      </c>
      <c r="D90" s="16">
        <f t="shared" si="6"/>
        <v>0</v>
      </c>
      <c r="E90" s="16">
        <f t="shared" si="7"/>
        <v>0</v>
      </c>
      <c r="F90" s="16">
        <f t="shared" si="8"/>
        <v>0</v>
      </c>
    </row>
    <row r="91" spans="1:6" x14ac:dyDescent="0.25">
      <c r="A91">
        <v>0.74</v>
      </c>
      <c r="B91">
        <v>0.76</v>
      </c>
      <c r="C91">
        <v>0.8</v>
      </c>
      <c r="D91" s="16">
        <f t="shared" si="6"/>
        <v>-2.6315789473684233E-2</v>
      </c>
      <c r="E91" s="16">
        <f t="shared" si="7"/>
        <v>-5.0000000000000044E-2</v>
      </c>
      <c r="F91" s="16">
        <f t="shared" si="8"/>
        <v>-3.8157894736842141E-2</v>
      </c>
    </row>
    <row r="92" spans="1:6" x14ac:dyDescent="0.25">
      <c r="A92">
        <v>0.82000000000000006</v>
      </c>
      <c r="B92">
        <v>0.72</v>
      </c>
      <c r="C92">
        <v>0.93</v>
      </c>
      <c r="D92" s="16">
        <f t="shared" si="6"/>
        <v>0.13888888888888901</v>
      </c>
      <c r="E92" s="16">
        <f t="shared" si="7"/>
        <v>-0.2258064516129033</v>
      </c>
      <c r="F92" s="16">
        <f t="shared" si="8"/>
        <v>-4.3458781362007148E-2</v>
      </c>
    </row>
    <row r="93" spans="1:6" x14ac:dyDescent="0.25">
      <c r="A93">
        <v>0.97</v>
      </c>
      <c r="B93">
        <v>0.97</v>
      </c>
      <c r="C93">
        <v>0.97</v>
      </c>
      <c r="D93" s="16">
        <f t="shared" si="6"/>
        <v>0</v>
      </c>
      <c r="E93" s="16">
        <f t="shared" si="7"/>
        <v>0</v>
      </c>
      <c r="F93" s="16">
        <f t="shared" si="8"/>
        <v>0</v>
      </c>
    </row>
    <row r="94" spans="1:6" x14ac:dyDescent="0.25">
      <c r="A94">
        <v>0.99</v>
      </c>
      <c r="B94">
        <v>0.99</v>
      </c>
      <c r="C94">
        <v>0.99</v>
      </c>
      <c r="D94" s="16">
        <f t="shared" si="6"/>
        <v>0</v>
      </c>
      <c r="E94" s="16">
        <f t="shared" si="7"/>
        <v>0</v>
      </c>
      <c r="F94" s="16">
        <f t="shared" si="8"/>
        <v>0</v>
      </c>
    </row>
    <row r="95" spans="1:6" x14ac:dyDescent="0.25">
      <c r="A95">
        <v>0.59</v>
      </c>
      <c r="B95">
        <v>0.52</v>
      </c>
      <c r="C95">
        <v>0.4</v>
      </c>
      <c r="D95" s="16">
        <f t="shared" si="6"/>
        <v>0.13461538461538453</v>
      </c>
      <c r="E95" s="16">
        <f t="shared" si="7"/>
        <v>0.3</v>
      </c>
      <c r="F95" s="16">
        <f t="shared" si="8"/>
        <v>0.21730769230769226</v>
      </c>
    </row>
    <row r="96" spans="1:6" x14ac:dyDescent="0.25">
      <c r="A96">
        <v>0.96</v>
      </c>
      <c r="B96">
        <v>0.97</v>
      </c>
      <c r="C96">
        <v>0.97</v>
      </c>
      <c r="D96" s="16">
        <f t="shared" si="6"/>
        <v>-1.0309278350515474E-2</v>
      </c>
      <c r="E96" s="16">
        <f t="shared" si="7"/>
        <v>0</v>
      </c>
      <c r="F96" s="16">
        <f t="shared" si="8"/>
        <v>-5.1546391752577371E-3</v>
      </c>
    </row>
    <row r="97" spans="1:6" x14ac:dyDescent="0.25">
      <c r="A97">
        <v>0.53</v>
      </c>
      <c r="B97">
        <v>0.53</v>
      </c>
      <c r="C97">
        <v>0.53</v>
      </c>
      <c r="D97" s="16">
        <f t="shared" si="6"/>
        <v>0</v>
      </c>
      <c r="E97" s="16">
        <f t="shared" si="7"/>
        <v>0</v>
      </c>
      <c r="F97" s="16">
        <f t="shared" si="8"/>
        <v>0</v>
      </c>
    </row>
    <row r="98" spans="1:6" x14ac:dyDescent="0.25">
      <c r="A98">
        <v>0.85</v>
      </c>
      <c r="B98">
        <v>0.85</v>
      </c>
      <c r="C98">
        <v>0.85</v>
      </c>
      <c r="D98" s="16">
        <f t="shared" si="6"/>
        <v>0</v>
      </c>
      <c r="E98" s="16">
        <f t="shared" si="7"/>
        <v>0</v>
      </c>
      <c r="F98" s="16">
        <f t="shared" si="8"/>
        <v>0</v>
      </c>
    </row>
    <row r="99" spans="1:6" x14ac:dyDescent="0.25">
      <c r="A99">
        <v>0.64</v>
      </c>
      <c r="B99">
        <v>0.64</v>
      </c>
      <c r="C99">
        <v>0.64</v>
      </c>
      <c r="D99" s="16">
        <f t="shared" ref="D99:D130" si="9">(A99-B99)/B99</f>
        <v>0</v>
      </c>
      <c r="E99" s="16">
        <f t="shared" ref="E99:E130" si="10">(B99-C99)/C99</f>
        <v>0</v>
      </c>
      <c r="F99" s="16">
        <f t="shared" si="8"/>
        <v>0</v>
      </c>
    </row>
    <row r="100" spans="1:6" x14ac:dyDescent="0.25">
      <c r="A100">
        <v>0.98</v>
      </c>
      <c r="B100">
        <v>0.98</v>
      </c>
      <c r="C100">
        <v>0.98</v>
      </c>
      <c r="D100" s="16">
        <f t="shared" si="9"/>
        <v>0</v>
      </c>
      <c r="E100" s="16">
        <f t="shared" si="10"/>
        <v>0</v>
      </c>
      <c r="F100" s="16">
        <f t="shared" si="8"/>
        <v>0</v>
      </c>
    </row>
    <row r="101" spans="1:6" x14ac:dyDescent="0.25">
      <c r="A101">
        <v>0.96</v>
      </c>
      <c r="B101">
        <v>0.97</v>
      </c>
      <c r="C101">
        <v>0.97</v>
      </c>
      <c r="D101" s="16">
        <f t="shared" si="9"/>
        <v>-1.0309278350515474E-2</v>
      </c>
      <c r="E101" s="16">
        <f t="shared" si="10"/>
        <v>0</v>
      </c>
      <c r="F101" s="16">
        <f t="shared" ref="F101:F132" si="11">AVERAGE(D101:E101)</f>
        <v>-5.1546391752577371E-3</v>
      </c>
    </row>
    <row r="102" spans="1:6" x14ac:dyDescent="0.25">
      <c r="A102">
        <v>0.96</v>
      </c>
      <c r="B102">
        <v>0.96</v>
      </c>
      <c r="C102">
        <v>0.96</v>
      </c>
      <c r="D102" s="16">
        <f t="shared" si="9"/>
        <v>0</v>
      </c>
      <c r="E102" s="16">
        <f t="shared" si="10"/>
        <v>0</v>
      </c>
      <c r="F102" s="16">
        <f t="shared" si="11"/>
        <v>0</v>
      </c>
    </row>
    <row r="103" spans="1:6" x14ac:dyDescent="0.25">
      <c r="A103">
        <v>0.64</v>
      </c>
      <c r="B103">
        <v>0.70000000000000007</v>
      </c>
      <c r="C103">
        <v>0.81</v>
      </c>
      <c r="D103" s="16">
        <f t="shared" si="9"/>
        <v>-8.5714285714285784E-2</v>
      </c>
      <c r="E103" s="16">
        <f t="shared" si="10"/>
        <v>-0.13580246913580243</v>
      </c>
      <c r="F103" s="16">
        <f t="shared" si="11"/>
        <v>-0.1107583774250441</v>
      </c>
    </row>
    <row r="104" spans="1:6" x14ac:dyDescent="0.25">
      <c r="A104">
        <v>0.92</v>
      </c>
      <c r="B104">
        <v>0.88</v>
      </c>
      <c r="C104">
        <v>0.83000000000000007</v>
      </c>
      <c r="D104" s="16">
        <f t="shared" si="9"/>
        <v>4.5454545454545497E-2</v>
      </c>
      <c r="E104" s="16">
        <f t="shared" si="10"/>
        <v>6.0240963855421603E-2</v>
      </c>
      <c r="F104" s="16">
        <f t="shared" si="11"/>
        <v>5.284775465498355E-2</v>
      </c>
    </row>
    <row r="105" spans="1:6" x14ac:dyDescent="0.25">
      <c r="A105">
        <v>0.95000000000000007</v>
      </c>
      <c r="B105">
        <v>0.94000000000000006</v>
      </c>
      <c r="C105">
        <v>0.95000000000000007</v>
      </c>
      <c r="D105" s="16">
        <f t="shared" si="9"/>
        <v>1.0638297872340434E-2</v>
      </c>
      <c r="E105" s="16">
        <f t="shared" si="10"/>
        <v>-1.0526315789473693E-2</v>
      </c>
      <c r="F105" s="16">
        <f t="shared" si="11"/>
        <v>5.599104143337065E-5</v>
      </c>
    </row>
    <row r="106" spans="1:6" x14ac:dyDescent="0.25">
      <c r="A106">
        <v>0.98</v>
      </c>
      <c r="B106">
        <v>0.97</v>
      </c>
      <c r="C106">
        <v>0.97</v>
      </c>
      <c r="D106" s="16">
        <f t="shared" si="9"/>
        <v>1.0309278350515474E-2</v>
      </c>
      <c r="E106" s="16">
        <f t="shared" si="10"/>
        <v>0</v>
      </c>
      <c r="F106" s="16">
        <f t="shared" si="11"/>
        <v>5.1546391752577371E-3</v>
      </c>
    </row>
    <row r="107" spans="1:6" x14ac:dyDescent="0.25">
      <c r="A107">
        <v>0.71</v>
      </c>
      <c r="B107">
        <v>0.71</v>
      </c>
      <c r="C107">
        <v>0.72</v>
      </c>
      <c r="D107" s="16">
        <f t="shared" si="9"/>
        <v>0</v>
      </c>
      <c r="E107" s="16">
        <f t="shared" si="10"/>
        <v>-1.3888888888888902E-2</v>
      </c>
      <c r="F107" s="16">
        <f t="shared" si="11"/>
        <v>-6.944444444444451E-3</v>
      </c>
    </row>
    <row r="108" spans="1:6" x14ac:dyDescent="0.25">
      <c r="A108">
        <v>0.82000000000000006</v>
      </c>
      <c r="B108">
        <v>0.78</v>
      </c>
      <c r="C108">
        <v>0.79</v>
      </c>
      <c r="D108" s="16">
        <f t="shared" si="9"/>
        <v>5.1282051282051329E-2</v>
      </c>
      <c r="E108" s="16">
        <f t="shared" si="10"/>
        <v>-1.2658227848101276E-2</v>
      </c>
      <c r="F108" s="16">
        <f t="shared" si="11"/>
        <v>1.9311911716975026E-2</v>
      </c>
    </row>
    <row r="109" spans="1:6" x14ac:dyDescent="0.25">
      <c r="A109">
        <v>0.94000000000000006</v>
      </c>
      <c r="B109">
        <v>0.94000000000000006</v>
      </c>
      <c r="C109">
        <v>0.94000000000000006</v>
      </c>
      <c r="D109" s="16">
        <f t="shared" si="9"/>
        <v>0</v>
      </c>
      <c r="E109" s="16">
        <f t="shared" si="10"/>
        <v>0</v>
      </c>
      <c r="F109" s="16">
        <f t="shared" si="11"/>
        <v>0</v>
      </c>
    </row>
    <row r="110" spans="1:6" x14ac:dyDescent="0.25">
      <c r="A110">
        <v>0.59</v>
      </c>
      <c r="B110">
        <v>0.65</v>
      </c>
      <c r="C110">
        <v>0.67</v>
      </c>
      <c r="D110" s="16">
        <f t="shared" si="9"/>
        <v>-9.2307692307692382E-2</v>
      </c>
      <c r="E110" s="16">
        <f t="shared" si="10"/>
        <v>-2.985074626865674E-2</v>
      </c>
      <c r="F110" s="16">
        <f t="shared" si="11"/>
        <v>-6.1079219288174558E-2</v>
      </c>
    </row>
    <row r="111" spans="1:6" x14ac:dyDescent="0.25">
      <c r="A111">
        <v>0.99</v>
      </c>
      <c r="B111">
        <v>0.98</v>
      </c>
      <c r="C111">
        <v>0.98</v>
      </c>
      <c r="D111" s="16">
        <f t="shared" si="9"/>
        <v>1.0204081632653071E-2</v>
      </c>
      <c r="E111" s="16">
        <f t="shared" si="10"/>
        <v>0</v>
      </c>
      <c r="F111" s="16">
        <f t="shared" si="11"/>
        <v>5.1020408163265354E-3</v>
      </c>
    </row>
    <row r="112" spans="1:6" x14ac:dyDescent="0.25">
      <c r="A112">
        <v>0.95000000000000007</v>
      </c>
      <c r="B112">
        <v>0.96</v>
      </c>
      <c r="C112">
        <v>0.96</v>
      </c>
      <c r="D112" s="16">
        <f t="shared" si="9"/>
        <v>-1.041666666666656E-2</v>
      </c>
      <c r="E112" s="16">
        <f t="shared" si="10"/>
        <v>0</v>
      </c>
      <c r="F112" s="16">
        <f t="shared" si="11"/>
        <v>-5.2083333333332801E-3</v>
      </c>
    </row>
    <row r="113" spans="1:6" x14ac:dyDescent="0.25">
      <c r="A113">
        <v>0.86</v>
      </c>
      <c r="B113">
        <v>0.86</v>
      </c>
      <c r="C113">
        <v>0.92</v>
      </c>
      <c r="D113" s="16">
        <f t="shared" si="9"/>
        <v>0</v>
      </c>
      <c r="E113" s="16">
        <f t="shared" si="10"/>
        <v>-6.521739130434788E-2</v>
      </c>
      <c r="F113" s="16">
        <f t="shared" si="11"/>
        <v>-3.260869565217394E-2</v>
      </c>
    </row>
    <row r="114" spans="1:6" x14ac:dyDescent="0.25">
      <c r="A114">
        <v>0.99</v>
      </c>
      <c r="B114">
        <v>0.99</v>
      </c>
      <c r="C114">
        <v>0.99</v>
      </c>
      <c r="D114" s="16">
        <f t="shared" si="9"/>
        <v>0</v>
      </c>
      <c r="E114" s="16">
        <f t="shared" si="10"/>
        <v>0</v>
      </c>
      <c r="F114" s="16">
        <f t="shared" si="11"/>
        <v>0</v>
      </c>
    </row>
    <row r="115" spans="1:6" x14ac:dyDescent="0.25">
      <c r="A115">
        <v>0.94000000000000006</v>
      </c>
      <c r="B115">
        <v>0.97</v>
      </c>
      <c r="C115">
        <v>0.98</v>
      </c>
      <c r="D115" s="16">
        <f t="shared" si="9"/>
        <v>-3.0927835051546306E-2</v>
      </c>
      <c r="E115" s="16">
        <f t="shared" si="10"/>
        <v>-1.0204081632653071E-2</v>
      </c>
      <c r="F115" s="16">
        <f t="shared" si="11"/>
        <v>-2.0565958342099688E-2</v>
      </c>
    </row>
    <row r="116" spans="1:6" x14ac:dyDescent="0.25">
      <c r="A116">
        <v>0.86</v>
      </c>
      <c r="B116">
        <v>0.89</v>
      </c>
      <c r="C116">
        <v>0.9</v>
      </c>
      <c r="D116" s="16">
        <f t="shared" si="9"/>
        <v>-3.3707865168539353E-2</v>
      </c>
      <c r="E116" s="16">
        <f t="shared" si="10"/>
        <v>-1.111111111111112E-2</v>
      </c>
      <c r="F116" s="16">
        <f t="shared" si="11"/>
        <v>-2.2409488139825236E-2</v>
      </c>
    </row>
    <row r="117" spans="1:6" x14ac:dyDescent="0.25">
      <c r="A117">
        <v>0.98</v>
      </c>
      <c r="B117">
        <v>0.96</v>
      </c>
      <c r="C117">
        <v>0.95000000000000007</v>
      </c>
      <c r="D117" s="16">
        <f t="shared" si="9"/>
        <v>2.0833333333333353E-2</v>
      </c>
      <c r="E117" s="16">
        <f t="shared" si="10"/>
        <v>1.0526315789473576E-2</v>
      </c>
      <c r="F117" s="16">
        <f t="shared" si="11"/>
        <v>1.5679824561403464E-2</v>
      </c>
    </row>
    <row r="118" spans="1:6" x14ac:dyDescent="0.25">
      <c r="A118">
        <v>0.77</v>
      </c>
      <c r="B118">
        <v>0.77</v>
      </c>
      <c r="C118">
        <v>0.77</v>
      </c>
      <c r="D118" s="16">
        <f t="shared" si="9"/>
        <v>0</v>
      </c>
      <c r="E118" s="16">
        <f t="shared" si="10"/>
        <v>0</v>
      </c>
      <c r="F118" s="16">
        <f t="shared" si="11"/>
        <v>0</v>
      </c>
    </row>
    <row r="119" spans="1:6" x14ac:dyDescent="0.25">
      <c r="A119">
        <v>0.87</v>
      </c>
      <c r="B119">
        <v>0.82000000000000006</v>
      </c>
      <c r="C119">
        <v>0.81</v>
      </c>
      <c r="D119" s="16">
        <f t="shared" si="9"/>
        <v>6.0975609756097476E-2</v>
      </c>
      <c r="E119" s="16">
        <f t="shared" si="10"/>
        <v>1.2345679012345689E-2</v>
      </c>
      <c r="F119" s="16">
        <f t="shared" si="11"/>
        <v>3.6660644384221584E-2</v>
      </c>
    </row>
    <row r="120" spans="1:6" x14ac:dyDescent="0.25">
      <c r="A120">
        <v>0.76</v>
      </c>
      <c r="B120">
        <v>0.73</v>
      </c>
      <c r="C120">
        <v>0.69000000000000006</v>
      </c>
      <c r="D120" s="16">
        <f t="shared" si="9"/>
        <v>4.1095890410958943E-2</v>
      </c>
      <c r="E120" s="16">
        <f t="shared" si="10"/>
        <v>5.7971014492753506E-2</v>
      </c>
      <c r="F120" s="16">
        <f t="shared" si="11"/>
        <v>4.9533452451856225E-2</v>
      </c>
    </row>
    <row r="121" spans="1:6" x14ac:dyDescent="0.25">
      <c r="A121">
        <v>0.99</v>
      </c>
      <c r="B121">
        <v>0.99</v>
      </c>
      <c r="C121">
        <v>0.99</v>
      </c>
      <c r="D121" s="16">
        <f t="shared" si="9"/>
        <v>0</v>
      </c>
      <c r="E121" s="16">
        <f t="shared" si="10"/>
        <v>0</v>
      </c>
      <c r="F121" s="16">
        <f t="shared" si="11"/>
        <v>0</v>
      </c>
    </row>
    <row r="122" spans="1:6" x14ac:dyDescent="0.25">
      <c r="A122">
        <v>0.79</v>
      </c>
      <c r="B122">
        <v>0.79</v>
      </c>
      <c r="C122">
        <v>0.81</v>
      </c>
      <c r="D122" s="16">
        <f t="shared" si="9"/>
        <v>0</v>
      </c>
      <c r="E122" s="16">
        <f t="shared" si="10"/>
        <v>-2.4691358024691377E-2</v>
      </c>
      <c r="F122" s="16">
        <f t="shared" si="11"/>
        <v>-1.2345679012345689E-2</v>
      </c>
    </row>
    <row r="123" spans="1:6" x14ac:dyDescent="0.25">
      <c r="A123">
        <v>0.96</v>
      </c>
      <c r="B123">
        <v>0.96</v>
      </c>
      <c r="C123">
        <v>0.96</v>
      </c>
      <c r="D123" s="16">
        <f t="shared" si="9"/>
        <v>0</v>
      </c>
      <c r="E123" s="16">
        <f t="shared" si="10"/>
        <v>0</v>
      </c>
      <c r="F123" s="16">
        <f t="shared" si="11"/>
        <v>0</v>
      </c>
    </row>
    <row r="124" spans="1:6" x14ac:dyDescent="0.25">
      <c r="A124">
        <v>0.89</v>
      </c>
      <c r="B124">
        <v>0.86</v>
      </c>
      <c r="C124">
        <v>0.79</v>
      </c>
      <c r="D124" s="16">
        <f t="shared" si="9"/>
        <v>3.4883720930232592E-2</v>
      </c>
      <c r="E124" s="16">
        <f t="shared" si="10"/>
        <v>8.8607594936708792E-2</v>
      </c>
      <c r="F124" s="16">
        <f t="shared" si="11"/>
        <v>6.1745657933470692E-2</v>
      </c>
    </row>
    <row r="125" spans="1:6" x14ac:dyDescent="0.25">
      <c r="A125">
        <v>0.99</v>
      </c>
      <c r="B125">
        <v>0.99</v>
      </c>
      <c r="C125">
        <v>0.99</v>
      </c>
      <c r="D125" s="16">
        <f t="shared" si="9"/>
        <v>0</v>
      </c>
      <c r="E125" s="16">
        <f t="shared" si="10"/>
        <v>0</v>
      </c>
      <c r="F125" s="16">
        <f t="shared" si="11"/>
        <v>0</v>
      </c>
    </row>
    <row r="126" spans="1:6" x14ac:dyDescent="0.25">
      <c r="A126">
        <v>0.73</v>
      </c>
      <c r="B126">
        <v>0.66</v>
      </c>
      <c r="C126">
        <v>0.6</v>
      </c>
      <c r="D126" s="16">
        <f t="shared" si="9"/>
        <v>0.10606060606060598</v>
      </c>
      <c r="E126" s="16">
        <f t="shared" si="10"/>
        <v>0.10000000000000009</v>
      </c>
      <c r="F126" s="16">
        <f t="shared" si="11"/>
        <v>0.10303030303030303</v>
      </c>
    </row>
    <row r="127" spans="1:6" x14ac:dyDescent="0.25">
      <c r="A127">
        <v>0.41000000000000003</v>
      </c>
      <c r="B127">
        <v>0.41000000000000003</v>
      </c>
      <c r="C127">
        <v>0.41000000000000003</v>
      </c>
      <c r="D127" s="16">
        <f t="shared" si="9"/>
        <v>0</v>
      </c>
      <c r="E127" s="16">
        <f t="shared" si="10"/>
        <v>0</v>
      </c>
      <c r="F127" s="16">
        <f t="shared" si="11"/>
        <v>0</v>
      </c>
    </row>
    <row r="128" spans="1:6" x14ac:dyDescent="0.25">
      <c r="A128">
        <v>0.99</v>
      </c>
      <c r="B128">
        <v>0.99</v>
      </c>
      <c r="C128">
        <v>0.99</v>
      </c>
      <c r="D128" s="16">
        <f t="shared" si="9"/>
        <v>0</v>
      </c>
      <c r="E128" s="16">
        <f t="shared" si="10"/>
        <v>0</v>
      </c>
      <c r="F128" s="16">
        <f t="shared" si="11"/>
        <v>0</v>
      </c>
    </row>
    <row r="129" spans="1:6" x14ac:dyDescent="0.25">
      <c r="A129">
        <v>0.92</v>
      </c>
      <c r="B129">
        <v>0.93</v>
      </c>
      <c r="C129">
        <v>0.92</v>
      </c>
      <c r="D129" s="16">
        <f t="shared" si="9"/>
        <v>-1.075268817204302E-2</v>
      </c>
      <c r="E129" s="16">
        <f t="shared" si="10"/>
        <v>1.0869565217391313E-2</v>
      </c>
      <c r="F129" s="16">
        <f t="shared" si="11"/>
        <v>5.8438522674146218E-5</v>
      </c>
    </row>
    <row r="130" spans="1:6" x14ac:dyDescent="0.25">
      <c r="A130">
        <v>0.97</v>
      </c>
      <c r="B130">
        <v>0.97</v>
      </c>
      <c r="C130">
        <v>0.97</v>
      </c>
      <c r="D130" s="16">
        <f t="shared" si="9"/>
        <v>0</v>
      </c>
      <c r="E130" s="16">
        <f t="shared" si="10"/>
        <v>0</v>
      </c>
      <c r="F130" s="16">
        <f t="shared" si="11"/>
        <v>0</v>
      </c>
    </row>
    <row r="131" spans="1:6" x14ac:dyDescent="0.25">
      <c r="A131">
        <v>0.8</v>
      </c>
      <c r="B131">
        <v>0.85</v>
      </c>
      <c r="C131">
        <v>0.8</v>
      </c>
      <c r="D131" s="16">
        <f t="shared" ref="D131:D162" si="12">(A131-B131)/B131</f>
        <v>-5.8823529411764629E-2</v>
      </c>
      <c r="E131" s="16">
        <f t="shared" ref="E131:E162" si="13">(B131-C131)/C131</f>
        <v>6.2499999999999917E-2</v>
      </c>
      <c r="F131" s="16">
        <f t="shared" si="11"/>
        <v>1.838235294117644E-3</v>
      </c>
    </row>
    <row r="132" spans="1:6" x14ac:dyDescent="0.25">
      <c r="A132">
        <v>0.75</v>
      </c>
      <c r="B132">
        <v>0.97</v>
      </c>
      <c r="C132">
        <v>0.91</v>
      </c>
      <c r="D132" s="16">
        <f t="shared" si="12"/>
        <v>-0.22680412371134018</v>
      </c>
      <c r="E132" s="16">
        <f t="shared" si="13"/>
        <v>6.5934065934065866E-2</v>
      </c>
      <c r="F132" s="16">
        <f t="shared" si="11"/>
        <v>-8.0435028888637156E-2</v>
      </c>
    </row>
    <row r="133" spans="1:6" x14ac:dyDescent="0.25">
      <c r="A133">
        <v>0.85</v>
      </c>
      <c r="B133">
        <v>0.85</v>
      </c>
      <c r="C133">
        <v>0.89</v>
      </c>
      <c r="D133" s="16">
        <f t="shared" si="12"/>
        <v>0</v>
      </c>
      <c r="E133" s="16">
        <f t="shared" si="13"/>
        <v>-4.4943820224719142E-2</v>
      </c>
      <c r="F133" s="16">
        <f t="shared" ref="F133:F164" si="14">AVERAGE(D133:E133)</f>
        <v>-2.2471910112359571E-2</v>
      </c>
    </row>
    <row r="134" spans="1:6" x14ac:dyDescent="0.25">
      <c r="A134">
        <v>0.57999999999999996</v>
      </c>
      <c r="B134">
        <v>0.54</v>
      </c>
      <c r="C134">
        <v>0.57999999999999996</v>
      </c>
      <c r="D134" s="16">
        <f t="shared" si="12"/>
        <v>7.4074074074073931E-2</v>
      </c>
      <c r="E134" s="16">
        <f t="shared" si="13"/>
        <v>-6.8965517241379184E-2</v>
      </c>
      <c r="F134" s="16">
        <f t="shared" si="14"/>
        <v>2.5542784163473733E-3</v>
      </c>
    </row>
    <row r="135" spans="1:6" x14ac:dyDescent="0.25">
      <c r="A135">
        <v>0.91</v>
      </c>
      <c r="B135">
        <v>0.91</v>
      </c>
      <c r="C135">
        <v>0.91</v>
      </c>
      <c r="D135" s="16">
        <f t="shared" si="12"/>
        <v>0</v>
      </c>
      <c r="E135" s="16">
        <f t="shared" si="13"/>
        <v>0</v>
      </c>
      <c r="F135" s="16">
        <f t="shared" si="14"/>
        <v>0</v>
      </c>
    </row>
    <row r="136" spans="1:6" x14ac:dyDescent="0.25">
      <c r="A136">
        <v>0.91</v>
      </c>
      <c r="B136">
        <v>0.9</v>
      </c>
      <c r="C136">
        <v>0.95000000000000007</v>
      </c>
      <c r="D136" s="16">
        <f t="shared" si="12"/>
        <v>1.111111111111112E-2</v>
      </c>
      <c r="E136" s="16">
        <f t="shared" si="13"/>
        <v>-5.2631578947368467E-2</v>
      </c>
      <c r="F136" s="16">
        <f t="shared" si="14"/>
        <v>-2.0760233918128673E-2</v>
      </c>
    </row>
    <row r="137" spans="1:6" x14ac:dyDescent="0.25">
      <c r="A137">
        <v>0.88</v>
      </c>
      <c r="B137">
        <v>0.92</v>
      </c>
      <c r="C137">
        <v>0.92</v>
      </c>
      <c r="D137" s="16">
        <f t="shared" si="12"/>
        <v>-4.3478260869565251E-2</v>
      </c>
      <c r="E137" s="16">
        <f t="shared" si="13"/>
        <v>0</v>
      </c>
      <c r="F137" s="16">
        <f t="shared" si="14"/>
        <v>-2.1739130434782625E-2</v>
      </c>
    </row>
    <row r="138" spans="1:6" x14ac:dyDescent="0.25">
      <c r="A138">
        <v>0.98</v>
      </c>
      <c r="B138">
        <v>0.98</v>
      </c>
      <c r="C138">
        <v>0.98</v>
      </c>
      <c r="D138" s="16">
        <f t="shared" si="12"/>
        <v>0</v>
      </c>
      <c r="E138" s="16">
        <f t="shared" si="13"/>
        <v>0</v>
      </c>
      <c r="F138" s="16">
        <f t="shared" si="14"/>
        <v>0</v>
      </c>
    </row>
    <row r="139" spans="1:6" x14ac:dyDescent="0.25">
      <c r="A139">
        <v>0.95000000000000007</v>
      </c>
      <c r="B139">
        <v>0.97</v>
      </c>
      <c r="C139">
        <v>0.95000000000000007</v>
      </c>
      <c r="D139" s="16">
        <f t="shared" si="12"/>
        <v>-2.0618556701030834E-2</v>
      </c>
      <c r="E139" s="16">
        <f t="shared" si="13"/>
        <v>2.1052631578947267E-2</v>
      </c>
      <c r="F139" s="16">
        <f t="shared" si="14"/>
        <v>2.1703743895821678E-4</v>
      </c>
    </row>
    <row r="140" spans="1:6" x14ac:dyDescent="0.25">
      <c r="A140">
        <v>0.99</v>
      </c>
      <c r="B140">
        <v>0.96</v>
      </c>
      <c r="C140">
        <v>0.92</v>
      </c>
      <c r="D140" s="16">
        <f t="shared" si="12"/>
        <v>3.1250000000000028E-2</v>
      </c>
      <c r="E140" s="16">
        <f t="shared" si="13"/>
        <v>4.3478260869565133E-2</v>
      </c>
      <c r="F140" s="16">
        <f t="shared" si="14"/>
        <v>3.736413043478258E-2</v>
      </c>
    </row>
    <row r="141" spans="1:6" x14ac:dyDescent="0.25">
      <c r="A141">
        <v>0.93</v>
      </c>
      <c r="B141">
        <v>0.92</v>
      </c>
      <c r="C141">
        <v>0.92</v>
      </c>
      <c r="D141" s="16">
        <f t="shared" si="12"/>
        <v>1.0869565217391313E-2</v>
      </c>
      <c r="E141" s="16">
        <f t="shared" si="13"/>
        <v>0</v>
      </c>
      <c r="F141" s="16">
        <f t="shared" si="14"/>
        <v>5.4347826086956564E-3</v>
      </c>
    </row>
    <row r="142" spans="1:6" x14ac:dyDescent="0.25">
      <c r="A142">
        <v>0.9</v>
      </c>
      <c r="B142">
        <v>0.94000000000000006</v>
      </c>
      <c r="C142">
        <v>0.95000000000000007</v>
      </c>
      <c r="D142" s="16">
        <f t="shared" si="12"/>
        <v>-4.2553191489361736E-2</v>
      </c>
      <c r="E142" s="16">
        <f t="shared" si="13"/>
        <v>-1.0526315789473693E-2</v>
      </c>
      <c r="F142" s="16">
        <f t="shared" si="14"/>
        <v>-2.6539753639417712E-2</v>
      </c>
    </row>
    <row r="143" spans="1:6" x14ac:dyDescent="0.25">
      <c r="A143">
        <v>0.97</v>
      </c>
      <c r="B143">
        <v>0.97</v>
      </c>
      <c r="C143">
        <v>0.97</v>
      </c>
      <c r="D143" s="16">
        <f t="shared" si="12"/>
        <v>0</v>
      </c>
      <c r="E143" s="16">
        <f t="shared" si="13"/>
        <v>0</v>
      </c>
      <c r="F143" s="16">
        <f t="shared" si="14"/>
        <v>0</v>
      </c>
    </row>
    <row r="144" spans="1:6" x14ac:dyDescent="0.25">
      <c r="A144">
        <v>0.98</v>
      </c>
      <c r="B144">
        <v>0.99</v>
      </c>
      <c r="C144">
        <v>0.99</v>
      </c>
      <c r="D144" s="16">
        <f t="shared" si="12"/>
        <v>-1.0101010101010111E-2</v>
      </c>
      <c r="E144" s="16">
        <f t="shared" si="13"/>
        <v>0</v>
      </c>
      <c r="F144" s="16">
        <f t="shared" si="14"/>
        <v>-5.0505050505050553E-3</v>
      </c>
    </row>
    <row r="145" spans="1:6" x14ac:dyDescent="0.25">
      <c r="A145">
        <v>0.92</v>
      </c>
      <c r="B145">
        <v>0.92</v>
      </c>
      <c r="C145">
        <v>0.94000000000000006</v>
      </c>
      <c r="D145" s="16">
        <f t="shared" si="12"/>
        <v>0</v>
      </c>
      <c r="E145" s="16">
        <f t="shared" si="13"/>
        <v>-2.1276595744680868E-2</v>
      </c>
      <c r="F145" s="16">
        <f t="shared" si="14"/>
        <v>-1.0638297872340434E-2</v>
      </c>
    </row>
    <row r="146" spans="1:6" x14ac:dyDescent="0.25">
      <c r="A146">
        <v>0.99</v>
      </c>
      <c r="B146">
        <v>0.99</v>
      </c>
      <c r="C146">
        <v>0.99</v>
      </c>
      <c r="D146" s="16">
        <f t="shared" si="12"/>
        <v>0</v>
      </c>
      <c r="E146" s="16">
        <f t="shared" si="13"/>
        <v>0</v>
      </c>
      <c r="F146" s="16">
        <f t="shared" si="14"/>
        <v>0</v>
      </c>
    </row>
    <row r="147" spans="1:6" x14ac:dyDescent="0.25">
      <c r="A147">
        <v>0.99</v>
      </c>
      <c r="B147">
        <v>0.99</v>
      </c>
      <c r="C147">
        <v>0.94000000000000006</v>
      </c>
      <c r="D147" s="16">
        <f t="shared" si="12"/>
        <v>0</v>
      </c>
      <c r="E147" s="16">
        <f t="shared" si="13"/>
        <v>5.3191489361702052E-2</v>
      </c>
      <c r="F147" s="16">
        <f t="shared" si="14"/>
        <v>2.6595744680851026E-2</v>
      </c>
    </row>
    <row r="148" spans="1:6" x14ac:dyDescent="0.25">
      <c r="A148">
        <v>0.99</v>
      </c>
      <c r="B148">
        <v>0.99</v>
      </c>
      <c r="C148">
        <v>0.99</v>
      </c>
      <c r="D148" s="16">
        <f t="shared" si="12"/>
        <v>0</v>
      </c>
      <c r="E148" s="16">
        <f t="shared" si="13"/>
        <v>0</v>
      </c>
      <c r="F148" s="16">
        <f t="shared" si="14"/>
        <v>0</v>
      </c>
    </row>
    <row r="149" spans="1:6" x14ac:dyDescent="0.25">
      <c r="A149">
        <v>0.49</v>
      </c>
      <c r="B149">
        <v>0.45</v>
      </c>
      <c r="C149">
        <v>0.63</v>
      </c>
      <c r="D149" s="16">
        <f t="shared" si="12"/>
        <v>8.8888888888888837E-2</v>
      </c>
      <c r="E149" s="16">
        <f t="shared" si="13"/>
        <v>-0.2857142857142857</v>
      </c>
      <c r="F149" s="16">
        <f t="shared" si="14"/>
        <v>-9.8412698412698424E-2</v>
      </c>
    </row>
    <row r="150" spans="1:6" x14ac:dyDescent="0.25">
      <c r="A150">
        <v>0.92</v>
      </c>
      <c r="B150">
        <v>0.73</v>
      </c>
      <c r="C150">
        <v>0.92</v>
      </c>
      <c r="D150" s="16">
        <f t="shared" si="12"/>
        <v>0.26027397260273982</v>
      </c>
      <c r="E150" s="16">
        <f t="shared" si="13"/>
        <v>-0.20652173913043484</v>
      </c>
      <c r="F150" s="16">
        <f t="shared" si="14"/>
        <v>2.6876116736152492E-2</v>
      </c>
    </row>
    <row r="151" spans="1:6" x14ac:dyDescent="0.25">
      <c r="A151">
        <v>0.9</v>
      </c>
      <c r="B151">
        <v>0.93</v>
      </c>
      <c r="C151">
        <v>0.86</v>
      </c>
      <c r="D151" s="16">
        <f t="shared" si="12"/>
        <v>-3.2258064516129059E-2</v>
      </c>
      <c r="E151" s="16">
        <f t="shared" si="13"/>
        <v>8.1395348837209378E-2</v>
      </c>
      <c r="F151" s="16">
        <f t="shared" si="14"/>
        <v>2.4568642160540159E-2</v>
      </c>
    </row>
    <row r="152" spans="1:6" x14ac:dyDescent="0.25">
      <c r="A152">
        <v>0.98</v>
      </c>
      <c r="B152">
        <v>0.97</v>
      </c>
      <c r="C152">
        <v>0.96</v>
      </c>
      <c r="D152" s="16">
        <f t="shared" si="12"/>
        <v>1.0309278350515474E-2</v>
      </c>
      <c r="E152" s="16">
        <f t="shared" si="13"/>
        <v>1.0416666666666676E-2</v>
      </c>
      <c r="F152" s="16">
        <f t="shared" si="14"/>
        <v>1.0362972508591075E-2</v>
      </c>
    </row>
    <row r="153" spans="1:6" x14ac:dyDescent="0.25">
      <c r="A153">
        <v>0.79</v>
      </c>
      <c r="B153">
        <v>0.77</v>
      </c>
      <c r="C153">
        <v>0.84</v>
      </c>
      <c r="D153" s="16">
        <f t="shared" si="12"/>
        <v>2.5974025974025997E-2</v>
      </c>
      <c r="E153" s="16">
        <f t="shared" si="13"/>
        <v>-8.3333333333333273E-2</v>
      </c>
      <c r="F153" s="16">
        <f t="shared" si="14"/>
        <v>-2.8679653679653638E-2</v>
      </c>
    </row>
    <row r="154" spans="1:6" x14ac:dyDescent="0.25">
      <c r="A154">
        <v>0.95000000000000007</v>
      </c>
      <c r="B154">
        <v>0.92</v>
      </c>
      <c r="C154">
        <v>0.95000000000000007</v>
      </c>
      <c r="D154" s="16">
        <f t="shared" si="12"/>
        <v>3.260869565217394E-2</v>
      </c>
      <c r="E154" s="16">
        <f t="shared" si="13"/>
        <v>-3.1578947368421081E-2</v>
      </c>
      <c r="F154" s="16">
        <f t="shared" si="14"/>
        <v>5.1487414187642924E-4</v>
      </c>
    </row>
    <row r="155" spans="1:6" x14ac:dyDescent="0.25">
      <c r="A155">
        <v>0.97</v>
      </c>
      <c r="B155">
        <v>0.99</v>
      </c>
      <c r="C155">
        <v>0.99</v>
      </c>
      <c r="D155" s="16">
        <f t="shared" si="12"/>
        <v>-2.0202020202020221E-2</v>
      </c>
      <c r="E155" s="16">
        <f t="shared" si="13"/>
        <v>0</v>
      </c>
      <c r="F155" s="16">
        <f t="shared" si="14"/>
        <v>-1.0101010101010111E-2</v>
      </c>
    </row>
    <row r="156" spans="1:6" x14ac:dyDescent="0.25">
      <c r="A156">
        <v>0.71</v>
      </c>
      <c r="B156">
        <v>0.66</v>
      </c>
      <c r="C156">
        <v>0.6</v>
      </c>
      <c r="D156" s="16">
        <f t="shared" si="12"/>
        <v>7.5757575757575649E-2</v>
      </c>
      <c r="E156" s="16">
        <f t="shared" si="13"/>
        <v>0.10000000000000009</v>
      </c>
      <c r="F156" s="16">
        <f t="shared" si="14"/>
        <v>8.7878787878787862E-2</v>
      </c>
    </row>
    <row r="157" spans="1:6" x14ac:dyDescent="0.25">
      <c r="A157">
        <v>0.95000000000000007</v>
      </c>
      <c r="B157">
        <v>0.95000000000000007</v>
      </c>
      <c r="C157">
        <v>0.95000000000000007</v>
      </c>
      <c r="D157" s="16">
        <f t="shared" si="12"/>
        <v>0</v>
      </c>
      <c r="E157" s="16">
        <f t="shared" si="13"/>
        <v>0</v>
      </c>
      <c r="F157" s="16">
        <f t="shared" si="14"/>
        <v>0</v>
      </c>
    </row>
    <row r="158" spans="1:6" x14ac:dyDescent="0.25">
      <c r="A158">
        <v>0.99</v>
      </c>
      <c r="B158">
        <v>0.99</v>
      </c>
      <c r="C158">
        <v>0.99</v>
      </c>
      <c r="D158" s="16">
        <f t="shared" si="12"/>
        <v>0</v>
      </c>
      <c r="E158" s="16">
        <f t="shared" si="13"/>
        <v>0</v>
      </c>
      <c r="F158" s="16">
        <f t="shared" si="14"/>
        <v>0</v>
      </c>
    </row>
    <row r="159" spans="1:6" x14ac:dyDescent="0.25">
      <c r="A159">
        <v>0.95000000000000007</v>
      </c>
      <c r="B159">
        <v>0.96</v>
      </c>
      <c r="C159">
        <v>0.96</v>
      </c>
      <c r="D159" s="16">
        <f t="shared" si="12"/>
        <v>-1.041666666666656E-2</v>
      </c>
      <c r="E159" s="16">
        <f t="shared" si="13"/>
        <v>0</v>
      </c>
      <c r="F159" s="16">
        <f t="shared" si="14"/>
        <v>-5.2083333333332801E-3</v>
      </c>
    </row>
    <row r="160" spans="1:6" x14ac:dyDescent="0.25">
      <c r="A160">
        <v>0.6</v>
      </c>
      <c r="B160">
        <v>0.6</v>
      </c>
      <c r="C160">
        <v>0.78</v>
      </c>
      <c r="D160" s="16">
        <f t="shared" si="12"/>
        <v>0</v>
      </c>
      <c r="E160" s="16">
        <f t="shared" si="13"/>
        <v>-0.23076923076923084</v>
      </c>
      <c r="F160" s="16">
        <f t="shared" si="14"/>
        <v>-0.11538461538461542</v>
      </c>
    </row>
    <row r="161" spans="1:6" x14ac:dyDescent="0.25">
      <c r="A161">
        <v>0.24</v>
      </c>
      <c r="B161">
        <v>0.24</v>
      </c>
      <c r="C161">
        <v>0.34</v>
      </c>
      <c r="D161" s="16">
        <f t="shared" si="12"/>
        <v>0</v>
      </c>
      <c r="E161" s="16">
        <f t="shared" si="13"/>
        <v>-0.29411764705882359</v>
      </c>
      <c r="F161" s="16">
        <f t="shared" si="14"/>
        <v>-0.1470588235294118</v>
      </c>
    </row>
    <row r="162" spans="1:6" x14ac:dyDescent="0.25">
      <c r="A162">
        <v>0.62</v>
      </c>
      <c r="B162">
        <v>0.62</v>
      </c>
      <c r="C162">
        <v>0.62</v>
      </c>
      <c r="D162" s="16">
        <f t="shared" si="12"/>
        <v>0</v>
      </c>
      <c r="E162" s="16">
        <f t="shared" si="13"/>
        <v>0</v>
      </c>
      <c r="F162" s="16">
        <f t="shared" si="14"/>
        <v>0</v>
      </c>
    </row>
    <row r="163" spans="1:6" x14ac:dyDescent="0.25">
      <c r="A163">
        <v>0.98</v>
      </c>
      <c r="B163">
        <v>0.98</v>
      </c>
      <c r="C163">
        <v>0.97</v>
      </c>
      <c r="D163" s="16">
        <f t="shared" ref="D163:D195" si="15">(A163-B163)/B163</f>
        <v>0</v>
      </c>
      <c r="E163" s="16">
        <f t="shared" ref="E163:E195" si="16">(B163-C163)/C163</f>
        <v>1.0309278350515474E-2</v>
      </c>
      <c r="F163" s="16">
        <f t="shared" si="14"/>
        <v>5.1546391752577371E-3</v>
      </c>
    </row>
    <row r="164" spans="1:6" x14ac:dyDescent="0.25">
      <c r="A164">
        <v>0.96</v>
      </c>
      <c r="B164">
        <v>0.97</v>
      </c>
      <c r="C164">
        <v>0.97</v>
      </c>
      <c r="D164" s="16">
        <f t="shared" si="15"/>
        <v>-1.0309278350515474E-2</v>
      </c>
      <c r="E164" s="16">
        <f t="shared" si="16"/>
        <v>0</v>
      </c>
      <c r="F164" s="16">
        <f t="shared" si="14"/>
        <v>-5.1546391752577371E-3</v>
      </c>
    </row>
    <row r="165" spans="1:6" x14ac:dyDescent="0.25">
      <c r="A165">
        <v>0.82000000000000006</v>
      </c>
      <c r="B165">
        <v>0.79</v>
      </c>
      <c r="C165">
        <v>0.79</v>
      </c>
      <c r="D165" s="16">
        <f t="shared" si="15"/>
        <v>3.7974683544303826E-2</v>
      </c>
      <c r="E165" s="16">
        <f t="shared" si="16"/>
        <v>0</v>
      </c>
      <c r="F165" s="16">
        <f t="shared" ref="F165:F195" si="17">AVERAGE(D165:E165)</f>
        <v>1.8987341772151913E-2</v>
      </c>
    </row>
    <row r="166" spans="1:6" x14ac:dyDescent="0.25">
      <c r="A166">
        <v>0.88</v>
      </c>
      <c r="B166">
        <v>0.86</v>
      </c>
      <c r="C166">
        <v>0.85</v>
      </c>
      <c r="D166" s="16">
        <f t="shared" si="15"/>
        <v>2.3255813953488393E-2</v>
      </c>
      <c r="E166" s="16">
        <f t="shared" si="16"/>
        <v>1.1764705882352951E-2</v>
      </c>
      <c r="F166" s="16">
        <f t="shared" si="17"/>
        <v>1.751025991792067E-2</v>
      </c>
    </row>
    <row r="167" spans="1:6" x14ac:dyDescent="0.25">
      <c r="A167">
        <v>0.95000000000000007</v>
      </c>
      <c r="B167">
        <v>0.95000000000000007</v>
      </c>
      <c r="C167">
        <v>0.95000000000000007</v>
      </c>
      <c r="D167" s="16">
        <f t="shared" si="15"/>
        <v>0</v>
      </c>
      <c r="E167" s="16">
        <f t="shared" si="16"/>
        <v>0</v>
      </c>
      <c r="F167" s="16">
        <f t="shared" si="17"/>
        <v>0</v>
      </c>
    </row>
    <row r="168" spans="1:6" x14ac:dyDescent="0.25">
      <c r="A168">
        <v>0.97</v>
      </c>
      <c r="B168">
        <v>0.97</v>
      </c>
      <c r="C168">
        <v>0.97</v>
      </c>
      <c r="D168" s="16">
        <f t="shared" si="15"/>
        <v>0</v>
      </c>
      <c r="E168" s="16">
        <f t="shared" si="16"/>
        <v>0</v>
      </c>
      <c r="F168" s="16">
        <f t="shared" si="17"/>
        <v>0</v>
      </c>
    </row>
    <row r="169" spans="1:6" x14ac:dyDescent="0.25">
      <c r="A169">
        <v>0.9</v>
      </c>
      <c r="B169">
        <v>0.9</v>
      </c>
      <c r="C169">
        <v>0.87</v>
      </c>
      <c r="D169" s="16">
        <f t="shared" si="15"/>
        <v>0</v>
      </c>
      <c r="E169" s="16">
        <f t="shared" si="16"/>
        <v>3.4482758620689689E-2</v>
      </c>
      <c r="F169" s="16">
        <f t="shared" si="17"/>
        <v>1.7241379310344845E-2</v>
      </c>
    </row>
    <row r="170" spans="1:6" x14ac:dyDescent="0.25">
      <c r="A170">
        <v>0.81</v>
      </c>
      <c r="B170">
        <v>0.81</v>
      </c>
      <c r="C170">
        <v>0.81</v>
      </c>
      <c r="D170" s="16">
        <f t="shared" si="15"/>
        <v>0</v>
      </c>
      <c r="E170" s="16">
        <f t="shared" si="16"/>
        <v>0</v>
      </c>
      <c r="F170" s="16">
        <f t="shared" si="17"/>
        <v>0</v>
      </c>
    </row>
    <row r="171" spans="1:6" x14ac:dyDescent="0.25">
      <c r="A171">
        <v>0.89</v>
      </c>
      <c r="B171">
        <v>0.86</v>
      </c>
      <c r="C171">
        <v>0.85</v>
      </c>
      <c r="D171" s="16">
        <f t="shared" si="15"/>
        <v>3.4883720930232592E-2</v>
      </c>
      <c r="E171" s="16">
        <f t="shared" si="16"/>
        <v>1.1764705882352951E-2</v>
      </c>
      <c r="F171" s="16">
        <f t="shared" si="17"/>
        <v>2.3324213406292774E-2</v>
      </c>
    </row>
    <row r="172" spans="1:6" x14ac:dyDescent="0.25">
      <c r="A172">
        <v>0.98</v>
      </c>
      <c r="B172">
        <v>0.98</v>
      </c>
      <c r="C172">
        <v>0.96</v>
      </c>
      <c r="D172" s="16">
        <f t="shared" si="15"/>
        <v>0</v>
      </c>
      <c r="E172" s="16">
        <f t="shared" si="16"/>
        <v>2.0833333333333353E-2</v>
      </c>
      <c r="F172" s="16">
        <f t="shared" si="17"/>
        <v>1.0416666666666676E-2</v>
      </c>
    </row>
    <row r="173" spans="1:6" x14ac:dyDescent="0.25">
      <c r="A173">
        <v>0.96</v>
      </c>
      <c r="B173">
        <v>0.98</v>
      </c>
      <c r="C173">
        <v>0.96</v>
      </c>
      <c r="D173" s="16">
        <f t="shared" si="15"/>
        <v>-2.0408163265306142E-2</v>
      </c>
      <c r="E173" s="16">
        <f t="shared" si="16"/>
        <v>2.0833333333333353E-2</v>
      </c>
      <c r="F173" s="16">
        <f t="shared" si="17"/>
        <v>2.1258503401360568E-4</v>
      </c>
    </row>
    <row r="174" spans="1:6" x14ac:dyDescent="0.25">
      <c r="A174">
        <v>0.70000000000000007</v>
      </c>
      <c r="B174">
        <v>0.73</v>
      </c>
      <c r="C174">
        <v>0.63</v>
      </c>
      <c r="D174" s="16">
        <f t="shared" si="15"/>
        <v>-4.1095890410958791E-2</v>
      </c>
      <c r="E174" s="16">
        <f t="shared" si="16"/>
        <v>0.15873015873015869</v>
      </c>
      <c r="F174" s="16">
        <f t="shared" si="17"/>
        <v>5.8817134159599951E-2</v>
      </c>
    </row>
    <row r="175" spans="1:6" x14ac:dyDescent="0.25">
      <c r="A175">
        <v>0.84</v>
      </c>
      <c r="B175">
        <v>0.77</v>
      </c>
      <c r="C175">
        <v>0.8</v>
      </c>
      <c r="D175" s="16">
        <f t="shared" si="15"/>
        <v>9.0909090909090842E-2</v>
      </c>
      <c r="E175" s="16">
        <f t="shared" si="16"/>
        <v>-3.7500000000000033E-2</v>
      </c>
      <c r="F175" s="16">
        <f t="shared" si="17"/>
        <v>2.6704545454545404E-2</v>
      </c>
    </row>
    <row r="176" spans="1:6" x14ac:dyDescent="0.25">
      <c r="A176">
        <v>0.99</v>
      </c>
      <c r="B176">
        <v>0.99</v>
      </c>
      <c r="C176">
        <v>0.99</v>
      </c>
      <c r="D176" s="16">
        <f t="shared" si="15"/>
        <v>0</v>
      </c>
      <c r="E176" s="16">
        <f t="shared" si="16"/>
        <v>0</v>
      </c>
      <c r="F176" s="16">
        <f t="shared" si="17"/>
        <v>0</v>
      </c>
    </row>
    <row r="177" spans="1:6" x14ac:dyDescent="0.25">
      <c r="A177">
        <v>0.94000000000000006</v>
      </c>
      <c r="B177">
        <v>0.91</v>
      </c>
      <c r="C177">
        <v>0.91</v>
      </c>
      <c r="D177" s="16">
        <f t="shared" si="15"/>
        <v>3.2967032967032996E-2</v>
      </c>
      <c r="E177" s="16">
        <f t="shared" si="16"/>
        <v>0</v>
      </c>
      <c r="F177" s="16">
        <f t="shared" si="17"/>
        <v>1.6483516483516498E-2</v>
      </c>
    </row>
    <row r="178" spans="1:6" x14ac:dyDescent="0.25">
      <c r="A178">
        <v>0.98</v>
      </c>
      <c r="B178">
        <v>0.98</v>
      </c>
      <c r="C178">
        <v>0.98</v>
      </c>
      <c r="D178" s="16">
        <f t="shared" si="15"/>
        <v>0</v>
      </c>
      <c r="E178" s="16">
        <f t="shared" si="16"/>
        <v>0</v>
      </c>
      <c r="F178" s="16">
        <f t="shared" si="17"/>
        <v>0</v>
      </c>
    </row>
    <row r="179" spans="1:6" x14ac:dyDescent="0.25">
      <c r="A179">
        <v>0.97</v>
      </c>
      <c r="B179">
        <v>0.97</v>
      </c>
      <c r="C179">
        <v>0.96</v>
      </c>
      <c r="D179" s="16">
        <f t="shared" si="15"/>
        <v>0</v>
      </c>
      <c r="E179" s="16">
        <f t="shared" si="16"/>
        <v>1.0416666666666676E-2</v>
      </c>
      <c r="F179" s="16">
        <f t="shared" si="17"/>
        <v>5.2083333333333382E-3</v>
      </c>
    </row>
    <row r="180" spans="1:6" x14ac:dyDescent="0.25">
      <c r="A180">
        <v>0.99</v>
      </c>
      <c r="B180">
        <v>0.99</v>
      </c>
      <c r="C180">
        <v>0.99</v>
      </c>
      <c r="D180" s="16">
        <f t="shared" si="15"/>
        <v>0</v>
      </c>
      <c r="E180" s="16">
        <f t="shared" si="16"/>
        <v>0</v>
      </c>
      <c r="F180" s="16">
        <f t="shared" si="17"/>
        <v>0</v>
      </c>
    </row>
    <row r="181" spans="1:6" x14ac:dyDescent="0.25">
      <c r="A181">
        <v>0.9</v>
      </c>
      <c r="B181">
        <v>0.93</v>
      </c>
      <c r="C181">
        <v>0.95000000000000007</v>
      </c>
      <c r="D181" s="16">
        <f t="shared" si="15"/>
        <v>-3.2258064516129059E-2</v>
      </c>
      <c r="E181" s="16">
        <f t="shared" si="16"/>
        <v>-2.1052631578947385E-2</v>
      </c>
      <c r="F181" s="16">
        <f t="shared" si="17"/>
        <v>-2.6655348047538222E-2</v>
      </c>
    </row>
    <row r="182" spans="1:6" x14ac:dyDescent="0.25">
      <c r="A182">
        <v>0.68</v>
      </c>
      <c r="B182">
        <v>0.68</v>
      </c>
      <c r="C182">
        <v>0.68</v>
      </c>
      <c r="D182" s="16">
        <f t="shared" si="15"/>
        <v>0</v>
      </c>
      <c r="E182" s="16">
        <f t="shared" si="16"/>
        <v>0</v>
      </c>
      <c r="F182" s="16">
        <f t="shared" si="17"/>
        <v>0</v>
      </c>
    </row>
    <row r="183" spans="1:6" x14ac:dyDescent="0.25">
      <c r="A183">
        <v>0.94000000000000006</v>
      </c>
      <c r="B183">
        <v>0.94000000000000006</v>
      </c>
      <c r="C183">
        <v>0.97</v>
      </c>
      <c r="D183" s="16">
        <f t="shared" si="15"/>
        <v>0</v>
      </c>
      <c r="E183" s="16">
        <f t="shared" si="16"/>
        <v>-3.0927835051546306E-2</v>
      </c>
      <c r="F183" s="16">
        <f t="shared" si="17"/>
        <v>-1.5463917525773153E-2</v>
      </c>
    </row>
    <row r="184" spans="1:6" x14ac:dyDescent="0.25">
      <c r="A184">
        <v>0.92</v>
      </c>
      <c r="B184">
        <v>0.92</v>
      </c>
      <c r="C184">
        <v>0.92</v>
      </c>
      <c r="D184" s="16">
        <f t="shared" si="15"/>
        <v>0</v>
      </c>
      <c r="E184" s="16">
        <f t="shared" si="16"/>
        <v>0</v>
      </c>
      <c r="F184" s="16">
        <f t="shared" si="17"/>
        <v>0</v>
      </c>
    </row>
    <row r="185" spans="1:6" x14ac:dyDescent="0.25">
      <c r="A185">
        <v>0.86</v>
      </c>
      <c r="B185">
        <v>0.86</v>
      </c>
      <c r="C185">
        <v>0.86</v>
      </c>
      <c r="D185" s="16">
        <f t="shared" si="15"/>
        <v>0</v>
      </c>
      <c r="E185" s="16">
        <f t="shared" si="16"/>
        <v>0</v>
      </c>
      <c r="F185" s="16">
        <f t="shared" si="17"/>
        <v>0</v>
      </c>
    </row>
    <row r="186" spans="1:6" x14ac:dyDescent="0.25">
      <c r="A186">
        <v>0.91</v>
      </c>
      <c r="B186">
        <v>0.88</v>
      </c>
      <c r="C186">
        <v>0.9</v>
      </c>
      <c r="D186" s="16">
        <f t="shared" si="15"/>
        <v>3.4090909090909123E-2</v>
      </c>
      <c r="E186" s="16">
        <f t="shared" si="16"/>
        <v>-2.222222222222224E-2</v>
      </c>
      <c r="F186" s="16">
        <f t="shared" si="17"/>
        <v>5.9343434343434413E-3</v>
      </c>
    </row>
    <row r="187" spans="1:6" x14ac:dyDescent="0.25">
      <c r="A187">
        <v>0.92</v>
      </c>
      <c r="B187">
        <v>0.92</v>
      </c>
      <c r="C187">
        <v>0.92</v>
      </c>
      <c r="D187" s="16">
        <f t="shared" si="15"/>
        <v>0</v>
      </c>
      <c r="E187" s="16">
        <f t="shared" si="16"/>
        <v>0</v>
      </c>
      <c r="F187" s="16">
        <f t="shared" si="17"/>
        <v>0</v>
      </c>
    </row>
    <row r="188" spans="1:6" x14ac:dyDescent="0.25">
      <c r="A188">
        <v>0.94000000000000006</v>
      </c>
      <c r="B188">
        <v>0.95000000000000007</v>
      </c>
      <c r="C188">
        <v>0.96</v>
      </c>
      <c r="D188" s="16">
        <f t="shared" si="15"/>
        <v>-1.0526315789473693E-2</v>
      </c>
      <c r="E188" s="16">
        <f t="shared" si="16"/>
        <v>-1.041666666666656E-2</v>
      </c>
      <c r="F188" s="16">
        <f t="shared" si="17"/>
        <v>-1.0471491228070126E-2</v>
      </c>
    </row>
    <row r="189" spans="1:6" x14ac:dyDescent="0.25">
      <c r="A189">
        <v>0.95000000000000007</v>
      </c>
      <c r="B189">
        <v>0.98</v>
      </c>
      <c r="C189">
        <v>0.98</v>
      </c>
      <c r="D189" s="16">
        <f t="shared" si="15"/>
        <v>-3.06122448979591E-2</v>
      </c>
      <c r="E189" s="16">
        <f t="shared" si="16"/>
        <v>0</v>
      </c>
      <c r="F189" s="16">
        <f t="shared" si="17"/>
        <v>-1.530612244897955E-2</v>
      </c>
    </row>
    <row r="190" spans="1:6" x14ac:dyDescent="0.25">
      <c r="A190">
        <v>0.52</v>
      </c>
      <c r="B190">
        <v>0.52</v>
      </c>
      <c r="C190">
        <v>0.52</v>
      </c>
      <c r="D190" s="16">
        <f t="shared" si="15"/>
        <v>0</v>
      </c>
      <c r="E190" s="16">
        <f t="shared" si="16"/>
        <v>0</v>
      </c>
      <c r="F190" s="16">
        <f t="shared" si="17"/>
        <v>0</v>
      </c>
    </row>
    <row r="191" spans="1:6" x14ac:dyDescent="0.25">
      <c r="A191">
        <v>0.83000000000000007</v>
      </c>
      <c r="B191">
        <v>0.93</v>
      </c>
      <c r="C191">
        <v>0.56000000000000005</v>
      </c>
      <c r="D191" s="16">
        <f t="shared" si="15"/>
        <v>-0.10752688172043008</v>
      </c>
      <c r="E191" s="16">
        <f t="shared" si="16"/>
        <v>0.6607142857142857</v>
      </c>
      <c r="F191" s="16">
        <f t="shared" si="17"/>
        <v>0.27659370199692779</v>
      </c>
    </row>
    <row r="192" spans="1:6" x14ac:dyDescent="0.25">
      <c r="A192">
        <v>0.97</v>
      </c>
      <c r="B192">
        <v>0.92</v>
      </c>
      <c r="C192">
        <v>0.83000000000000007</v>
      </c>
      <c r="D192" s="16">
        <f t="shared" si="15"/>
        <v>5.4347826086956444E-2</v>
      </c>
      <c r="E192" s="16">
        <f t="shared" si="16"/>
        <v>0.10843373493975898</v>
      </c>
      <c r="F192" s="16">
        <f t="shared" si="17"/>
        <v>8.1390780513357713E-2</v>
      </c>
    </row>
    <row r="193" spans="1:6" x14ac:dyDescent="0.25">
      <c r="A193">
        <v>0.57999999999999996</v>
      </c>
      <c r="B193">
        <v>0.62</v>
      </c>
      <c r="C193">
        <v>0.63</v>
      </c>
      <c r="D193" s="16">
        <f t="shared" si="15"/>
        <v>-6.4516129032258118E-2</v>
      </c>
      <c r="E193" s="16">
        <f t="shared" si="16"/>
        <v>-1.5873015873015886E-2</v>
      </c>
      <c r="F193" s="16">
        <f t="shared" si="17"/>
        <v>-4.0194572452637002E-2</v>
      </c>
    </row>
    <row r="194" spans="1:6" x14ac:dyDescent="0.25">
      <c r="A194">
        <v>0.85</v>
      </c>
      <c r="B194">
        <v>0.85</v>
      </c>
      <c r="C194">
        <v>0.85</v>
      </c>
      <c r="D194" s="16">
        <f t="shared" si="15"/>
        <v>0</v>
      </c>
      <c r="E194" s="16">
        <f t="shared" si="16"/>
        <v>0</v>
      </c>
      <c r="F194" s="16">
        <f t="shared" si="17"/>
        <v>0</v>
      </c>
    </row>
    <row r="195" spans="1:6" x14ac:dyDescent="0.25">
      <c r="A195">
        <v>0.76</v>
      </c>
      <c r="B195">
        <v>0.70000000000000007</v>
      </c>
      <c r="C195">
        <v>0.69000000000000006</v>
      </c>
      <c r="D195" s="16">
        <f t="shared" si="15"/>
        <v>8.5714285714285618E-2</v>
      </c>
      <c r="E195" s="16">
        <f t="shared" si="16"/>
        <v>1.4492753623188418E-2</v>
      </c>
      <c r="F195" s="16">
        <f t="shared" si="17"/>
        <v>5.0103519668737016E-2</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filterMode="1"/>
  <dimension ref="A1:I195"/>
  <sheetViews>
    <sheetView topLeftCell="A23" workbookViewId="0">
      <selection activeCell="A10" sqref="A10:D188"/>
    </sheetView>
  </sheetViews>
  <sheetFormatPr defaultRowHeight="15" x14ac:dyDescent="0.25"/>
  <cols>
    <col min="1" max="1" width="31.85546875" customWidth="1"/>
    <col min="2" max="2" width="22.42578125" customWidth="1"/>
    <col min="3" max="3" width="14" bestFit="1" customWidth="1"/>
    <col min="8" max="8" width="30.85546875" customWidth="1"/>
    <col min="9" max="9" width="10.140625" bestFit="1" customWidth="1"/>
  </cols>
  <sheetData>
    <row r="1" spans="1:9" ht="64.5" x14ac:dyDescent="0.25">
      <c r="A1" s="55" t="s">
        <v>610</v>
      </c>
      <c r="B1" s="55" t="s">
        <v>613</v>
      </c>
      <c r="C1" t="s">
        <v>612</v>
      </c>
      <c r="D1" t="s">
        <v>611</v>
      </c>
    </row>
    <row r="2" spans="1:9" hidden="1" x14ac:dyDescent="0.25">
      <c r="A2" s="52" t="s">
        <v>610</v>
      </c>
      <c r="B2" s="52"/>
    </row>
    <row r="3" spans="1:9" hidden="1" x14ac:dyDescent="0.25">
      <c r="A3" s="52" t="s">
        <v>610</v>
      </c>
      <c r="B3" s="52"/>
    </row>
    <row r="4" spans="1:9" hidden="1" x14ac:dyDescent="0.25">
      <c r="A4" s="54" t="s">
        <v>106</v>
      </c>
      <c r="B4" s="53">
        <v>83</v>
      </c>
      <c r="C4" s="16">
        <v>425.87400000000002</v>
      </c>
    </row>
    <row r="5" spans="1:9" hidden="1" x14ac:dyDescent="0.25">
      <c r="A5" s="54" t="s">
        <v>232</v>
      </c>
      <c r="B5" s="53">
        <v>98</v>
      </c>
      <c r="C5" s="16">
        <v>3794.8809999999999</v>
      </c>
    </row>
    <row r="6" spans="1:9" hidden="1" x14ac:dyDescent="0.25">
      <c r="A6" s="54" t="s">
        <v>231</v>
      </c>
      <c r="B6" s="53">
        <v>93</v>
      </c>
      <c r="C6" s="16">
        <v>3925.922</v>
      </c>
      <c r="I6" s="41"/>
    </row>
    <row r="7" spans="1:9" hidden="1" x14ac:dyDescent="0.25">
      <c r="A7" s="54" t="s">
        <v>62</v>
      </c>
      <c r="B7" s="53">
        <v>73</v>
      </c>
      <c r="C7" s="16">
        <v>4081.9769999999999</v>
      </c>
      <c r="I7" s="41"/>
    </row>
    <row r="8" spans="1:9" hidden="1" x14ac:dyDescent="0.25">
      <c r="A8" s="54" t="s">
        <v>229</v>
      </c>
      <c r="B8" s="53">
        <v>99</v>
      </c>
      <c r="C8" s="16">
        <v>13150.423000000001</v>
      </c>
      <c r="I8" s="41"/>
    </row>
    <row r="9" spans="1:9" hidden="1" x14ac:dyDescent="0.25">
      <c r="A9" s="54" t="s">
        <v>228</v>
      </c>
      <c r="B9" s="53">
        <v>94</v>
      </c>
      <c r="C9" s="16">
        <v>7728.3580000000002</v>
      </c>
      <c r="D9" s="4"/>
      <c r="I9" s="41"/>
    </row>
    <row r="10" spans="1:9" x14ac:dyDescent="0.25">
      <c r="A10" s="54" t="s">
        <v>61</v>
      </c>
      <c r="B10" s="53">
        <v>93</v>
      </c>
      <c r="C10" s="16">
        <v>2614.7020000000002</v>
      </c>
      <c r="D10" s="143">
        <v>71.3</v>
      </c>
      <c r="I10" s="41"/>
    </row>
    <row r="11" spans="1:9" hidden="1" x14ac:dyDescent="0.25">
      <c r="A11" s="54" t="s">
        <v>227</v>
      </c>
      <c r="B11" s="53">
        <v>92</v>
      </c>
      <c r="C11" s="16">
        <v>44999.377999999997</v>
      </c>
      <c r="I11" s="41"/>
    </row>
    <row r="12" spans="1:9" hidden="1" x14ac:dyDescent="0.25">
      <c r="A12" s="54" t="s">
        <v>226</v>
      </c>
      <c r="B12" s="53">
        <v>83</v>
      </c>
      <c r="C12" s="16">
        <v>45685.879000000001</v>
      </c>
      <c r="I12" s="41"/>
    </row>
    <row r="13" spans="1:9" x14ac:dyDescent="0.25">
      <c r="A13" s="54" t="s">
        <v>224</v>
      </c>
      <c r="B13" s="53">
        <v>73</v>
      </c>
      <c r="C13" s="16">
        <v>4798.2349999999997</v>
      </c>
      <c r="D13" s="143">
        <v>65.900000000000006</v>
      </c>
      <c r="I13" s="41"/>
    </row>
    <row r="14" spans="1:9" hidden="1" x14ac:dyDescent="0.25">
      <c r="A14" s="54" t="s">
        <v>223</v>
      </c>
      <c r="B14" s="53">
        <v>96</v>
      </c>
      <c r="C14" s="16">
        <v>21650.670999999998</v>
      </c>
      <c r="I14" s="41"/>
    </row>
    <row r="15" spans="1:9" hidden="1" x14ac:dyDescent="0.25">
      <c r="A15" s="54" t="s">
        <v>222</v>
      </c>
      <c r="B15" s="53">
        <v>98</v>
      </c>
      <c r="C15" s="16">
        <v>18589.379000000001</v>
      </c>
      <c r="I15" s="41"/>
    </row>
    <row r="16" spans="1:9" x14ac:dyDescent="0.25">
      <c r="A16" s="54" t="s">
        <v>105</v>
      </c>
      <c r="B16" s="53">
        <v>94</v>
      </c>
      <c r="C16" s="16">
        <v>583.97299999999996</v>
      </c>
      <c r="D16" s="143">
        <v>56.1</v>
      </c>
    </row>
    <row r="17" spans="1:9" hidden="1" x14ac:dyDescent="0.25">
      <c r="A17" s="54" t="s">
        <v>221</v>
      </c>
      <c r="B17" s="53">
        <v>93</v>
      </c>
      <c r="C17" s="16">
        <v>14116.823</v>
      </c>
      <c r="D17" s="4"/>
      <c r="I17" s="41"/>
    </row>
    <row r="18" spans="1:9" hidden="1" x14ac:dyDescent="0.25">
      <c r="A18" s="54" t="s">
        <v>220</v>
      </c>
      <c r="B18" s="53">
        <v>96</v>
      </c>
      <c r="C18" s="16">
        <v>5190.7870000000003</v>
      </c>
      <c r="I18" s="41"/>
    </row>
    <row r="19" spans="1:9" hidden="1" x14ac:dyDescent="0.25">
      <c r="A19" s="54" t="s">
        <v>219</v>
      </c>
      <c r="B19" s="53">
        <v>99</v>
      </c>
      <c r="C19" s="16">
        <v>43551.900999999998</v>
      </c>
      <c r="D19" s="4"/>
      <c r="I19" s="41"/>
    </row>
    <row r="20" spans="1:9" hidden="1" x14ac:dyDescent="0.25">
      <c r="A20" s="54" t="s">
        <v>218</v>
      </c>
      <c r="B20" s="53">
        <v>97</v>
      </c>
      <c r="C20" s="16">
        <v>4113.8580000000002</v>
      </c>
      <c r="I20" s="41"/>
    </row>
    <row r="21" spans="1:9" x14ac:dyDescent="0.25">
      <c r="A21" s="54" t="s">
        <v>104</v>
      </c>
      <c r="B21" s="53">
        <v>83</v>
      </c>
      <c r="C21" s="16">
        <v>709.82399999999996</v>
      </c>
      <c r="D21" s="143">
        <v>52.1</v>
      </c>
    </row>
    <row r="22" spans="1:9" hidden="1" x14ac:dyDescent="0.25">
      <c r="A22" s="54" t="s">
        <v>59</v>
      </c>
      <c r="B22" s="53">
        <v>96</v>
      </c>
      <c r="C22" s="16">
        <v>1850.114</v>
      </c>
      <c r="I22" s="41"/>
    </row>
    <row r="23" spans="1:9" x14ac:dyDescent="0.25">
      <c r="A23" s="54" t="s">
        <v>217</v>
      </c>
      <c r="B23" s="53">
        <v>85</v>
      </c>
      <c r="C23" s="16">
        <v>1707.624</v>
      </c>
      <c r="D23" s="143">
        <v>70</v>
      </c>
      <c r="I23" s="41"/>
    </row>
    <row r="24" spans="1:9" hidden="1" x14ac:dyDescent="0.25">
      <c r="A24" s="54" t="s">
        <v>216</v>
      </c>
      <c r="B24" s="53">
        <v>90</v>
      </c>
      <c r="C24" s="16">
        <v>4365.1989999999996</v>
      </c>
      <c r="I24" s="41"/>
    </row>
    <row r="25" spans="1:9" hidden="1" x14ac:dyDescent="0.25">
      <c r="A25" s="54" t="s">
        <v>215</v>
      </c>
      <c r="B25" s="53">
        <v>96</v>
      </c>
      <c r="C25" s="16">
        <v>6436.95</v>
      </c>
      <c r="I25" s="41"/>
    </row>
    <row r="26" spans="1:9" hidden="1" x14ac:dyDescent="0.25">
      <c r="A26" s="54" t="s">
        <v>213</v>
      </c>
      <c r="B26" s="53">
        <v>99</v>
      </c>
      <c r="C26" s="16">
        <v>8360.3269999999993</v>
      </c>
      <c r="D26" s="4"/>
      <c r="I26" s="41"/>
    </row>
    <row r="27" spans="1:9" hidden="1" x14ac:dyDescent="0.25">
      <c r="A27" s="54" t="s">
        <v>212</v>
      </c>
      <c r="B27" s="53">
        <v>99</v>
      </c>
      <c r="C27" s="16">
        <v>26423.102999999999</v>
      </c>
      <c r="I27" s="41"/>
    </row>
    <row r="28" spans="1:9" hidden="1" x14ac:dyDescent="0.25">
      <c r="A28" s="54" t="s">
        <v>211</v>
      </c>
      <c r="B28" s="53">
        <v>94</v>
      </c>
      <c r="C28" s="16">
        <v>6421.32</v>
      </c>
      <c r="I28" s="41"/>
    </row>
    <row r="29" spans="1:9" hidden="1" x14ac:dyDescent="0.25">
      <c r="A29" s="54" t="s">
        <v>103</v>
      </c>
      <c r="B29" s="53">
        <v>82</v>
      </c>
      <c r="C29" s="16">
        <v>589.10699999999997</v>
      </c>
    </row>
    <row r="30" spans="1:9" hidden="1" x14ac:dyDescent="0.25">
      <c r="A30" s="54" t="s">
        <v>102</v>
      </c>
      <c r="B30" s="53">
        <v>92</v>
      </c>
      <c r="C30" s="16">
        <v>164.083</v>
      </c>
    </row>
    <row r="31" spans="1:9" x14ac:dyDescent="0.25">
      <c r="A31" s="54" t="s">
        <v>101</v>
      </c>
      <c r="B31" s="53">
        <v>94</v>
      </c>
      <c r="C31" s="16">
        <v>768.36599999999999</v>
      </c>
      <c r="D31" s="143">
        <v>61.3</v>
      </c>
    </row>
    <row r="32" spans="1:9" hidden="1" x14ac:dyDescent="0.25">
      <c r="A32" s="54" t="s">
        <v>57</v>
      </c>
      <c r="B32" s="53">
        <v>80</v>
      </c>
      <c r="C32" s="16">
        <v>1113.5909999999999</v>
      </c>
      <c r="I32" s="41"/>
    </row>
    <row r="33" spans="1:9" hidden="1" x14ac:dyDescent="0.25">
      <c r="A33" s="54" t="s">
        <v>210</v>
      </c>
      <c r="B33" s="53">
        <v>80</v>
      </c>
      <c r="C33" s="16">
        <v>39682.894</v>
      </c>
      <c r="I33" s="41"/>
    </row>
    <row r="34" spans="1:9" hidden="1" x14ac:dyDescent="0.25">
      <c r="A34" s="54" t="s">
        <v>56</v>
      </c>
      <c r="B34" s="53">
        <v>99</v>
      </c>
      <c r="C34" s="16">
        <v>3100.259</v>
      </c>
      <c r="I34" s="41"/>
    </row>
    <row r="35" spans="1:9" hidden="1" x14ac:dyDescent="0.25">
      <c r="A35" s="54" t="s">
        <v>100</v>
      </c>
      <c r="B35" s="53">
        <v>54</v>
      </c>
      <c r="C35" s="16">
        <v>439.85399999999998</v>
      </c>
      <c r="D35" s="4"/>
    </row>
    <row r="36" spans="1:9" hidden="1" x14ac:dyDescent="0.25">
      <c r="A36" s="54" t="s">
        <v>99</v>
      </c>
      <c r="B36" s="53">
        <v>23</v>
      </c>
      <c r="C36" s="16">
        <v>699.33299999999997</v>
      </c>
    </row>
    <row r="37" spans="1:9" hidden="1" x14ac:dyDescent="0.25">
      <c r="A37" s="54" t="s">
        <v>209</v>
      </c>
      <c r="B37" s="53">
        <v>97</v>
      </c>
      <c r="C37" s="16">
        <v>9485.2710000000006</v>
      </c>
      <c r="I37" s="41"/>
    </row>
    <row r="38" spans="1:9" hidden="1" x14ac:dyDescent="0.25">
      <c r="A38" s="54" t="s">
        <v>55</v>
      </c>
      <c r="B38" s="53">
        <v>97</v>
      </c>
      <c r="C38" s="16">
        <v>3738.9520000000002</v>
      </c>
      <c r="I38" s="41"/>
    </row>
    <row r="39" spans="1:9" x14ac:dyDescent="0.25">
      <c r="A39" s="54" t="s">
        <v>208</v>
      </c>
      <c r="B39" s="53">
        <v>92</v>
      </c>
      <c r="C39" s="16">
        <v>5153.5039999999999</v>
      </c>
      <c r="D39" s="143">
        <v>78.5</v>
      </c>
      <c r="I39" s="41"/>
    </row>
    <row r="40" spans="1:9" hidden="1" x14ac:dyDescent="0.25">
      <c r="A40" s="54" t="s">
        <v>98</v>
      </c>
      <c r="B40" s="53">
        <v>83</v>
      </c>
      <c r="C40" s="16">
        <v>823.07</v>
      </c>
      <c r="D40" s="4"/>
    </row>
    <row r="41" spans="1:9" x14ac:dyDescent="0.25">
      <c r="A41" s="54" t="s">
        <v>207</v>
      </c>
      <c r="B41" s="53">
        <v>91</v>
      </c>
      <c r="C41" s="16">
        <v>2557.306</v>
      </c>
      <c r="D41" s="143">
        <v>51.9</v>
      </c>
    </row>
    <row r="42" spans="1:9" hidden="1" x14ac:dyDescent="0.25">
      <c r="A42" s="54" t="s">
        <v>205</v>
      </c>
      <c r="B42" s="53">
        <v>86</v>
      </c>
      <c r="C42" s="16">
        <v>6488.2179999999998</v>
      </c>
      <c r="I42" s="41"/>
    </row>
    <row r="43" spans="1:9" hidden="1" x14ac:dyDescent="0.25">
      <c r="A43" s="54" t="s">
        <v>53</v>
      </c>
      <c r="B43" s="53">
        <v>81</v>
      </c>
      <c r="C43" s="16">
        <v>1051.989</v>
      </c>
      <c r="I43" s="41"/>
    </row>
    <row r="44" spans="1:9" hidden="1" x14ac:dyDescent="0.25">
      <c r="A44" s="54" t="s">
        <v>203</v>
      </c>
      <c r="B44" s="53">
        <v>96</v>
      </c>
      <c r="C44" s="16">
        <v>14233.351000000001</v>
      </c>
      <c r="D44" s="4"/>
      <c r="I44" s="41"/>
    </row>
    <row r="45" spans="1:9" hidden="1" x14ac:dyDescent="0.25">
      <c r="A45" s="54" t="s">
        <v>202</v>
      </c>
      <c r="B45" s="53">
        <v>96</v>
      </c>
      <c r="C45" s="16">
        <v>5596</v>
      </c>
      <c r="D45" s="4"/>
      <c r="I45" s="41"/>
    </row>
    <row r="46" spans="1:9" hidden="1" x14ac:dyDescent="0.25">
      <c r="A46" s="54" t="s">
        <v>201</v>
      </c>
      <c r="B46" s="53">
        <v>99</v>
      </c>
      <c r="C46" s="16">
        <v>29617.93</v>
      </c>
      <c r="I46" s="41"/>
    </row>
    <row r="47" spans="1:9" hidden="1" x14ac:dyDescent="0.25">
      <c r="A47" s="54" t="s">
        <v>200</v>
      </c>
      <c r="B47" s="53">
        <v>99</v>
      </c>
      <c r="C47" s="16">
        <v>18170.867999999999</v>
      </c>
      <c r="I47" s="41"/>
    </row>
    <row r="48" spans="1:9" hidden="1" x14ac:dyDescent="0.25">
      <c r="A48" s="52" t="s">
        <v>609</v>
      </c>
      <c r="B48" s="52"/>
      <c r="D48" s="4"/>
      <c r="I48" s="41"/>
    </row>
    <row r="49" spans="1:9" x14ac:dyDescent="0.25">
      <c r="A49" s="54" t="s">
        <v>198</v>
      </c>
      <c r="B49" s="53">
        <v>77</v>
      </c>
      <c r="C49" s="16">
        <v>162.38499999999999</v>
      </c>
      <c r="D49" s="143">
        <v>20.399999999999999</v>
      </c>
      <c r="I49" s="41"/>
    </row>
    <row r="50" spans="1:9" hidden="1" x14ac:dyDescent="0.25">
      <c r="A50" s="54" t="s">
        <v>197</v>
      </c>
      <c r="B50" s="53">
        <v>89</v>
      </c>
      <c r="C50" s="16">
        <v>56051.559000000001</v>
      </c>
      <c r="D50" s="4"/>
      <c r="I50" s="41"/>
    </row>
    <row r="51" spans="1:9" hidden="1" x14ac:dyDescent="0.25">
      <c r="A51" s="54" t="s">
        <v>52</v>
      </c>
      <c r="B51" s="53">
        <v>89</v>
      </c>
      <c r="C51" s="16">
        <v>1304.8610000000001</v>
      </c>
      <c r="I51" s="41"/>
    </row>
    <row r="52" spans="1:9" hidden="1" x14ac:dyDescent="0.25">
      <c r="A52" s="54" t="s">
        <v>196</v>
      </c>
      <c r="B52" s="53">
        <v>99</v>
      </c>
      <c r="C52" s="16">
        <v>4975.99</v>
      </c>
      <c r="I52" s="41"/>
    </row>
    <row r="53" spans="1:9" x14ac:dyDescent="0.25">
      <c r="A53" s="54" t="s">
        <v>195</v>
      </c>
      <c r="B53" s="53">
        <v>82</v>
      </c>
      <c r="C53" s="16">
        <v>4815.8</v>
      </c>
      <c r="D53" s="143">
        <v>53.8</v>
      </c>
    </row>
    <row r="54" spans="1:9" hidden="1" x14ac:dyDescent="0.25">
      <c r="A54" s="54" t="s">
        <v>51</v>
      </c>
      <c r="B54" s="53">
        <v>75</v>
      </c>
      <c r="C54" s="16">
        <v>3569.7179999999998</v>
      </c>
      <c r="I54" s="41"/>
    </row>
    <row r="55" spans="1:9" x14ac:dyDescent="0.25">
      <c r="A55" s="54" t="s">
        <v>194</v>
      </c>
      <c r="B55" s="53">
        <v>97</v>
      </c>
      <c r="C55" s="16">
        <v>2455.8270000000002</v>
      </c>
      <c r="D55" s="143">
        <v>68</v>
      </c>
    </row>
    <row r="56" spans="1:9" hidden="1" x14ac:dyDescent="0.25">
      <c r="A56" s="54" t="s">
        <v>49</v>
      </c>
      <c r="B56" s="53">
        <v>91</v>
      </c>
      <c r="C56" s="16">
        <v>3623.279</v>
      </c>
      <c r="I56" s="41"/>
    </row>
    <row r="57" spans="1:9" hidden="1" x14ac:dyDescent="0.25">
      <c r="A57" s="54" t="s">
        <v>193</v>
      </c>
      <c r="B57" s="53">
        <v>33</v>
      </c>
      <c r="C57" s="16">
        <v>9588.0619999999999</v>
      </c>
      <c r="I57" s="41"/>
    </row>
    <row r="58" spans="1:9" hidden="1" x14ac:dyDescent="0.25">
      <c r="A58" s="54" t="s">
        <v>96</v>
      </c>
      <c r="B58" s="53">
        <v>99</v>
      </c>
      <c r="C58" s="16">
        <v>359.69200000000001</v>
      </c>
      <c r="I58" s="41"/>
    </row>
    <row r="59" spans="1:9" hidden="1" x14ac:dyDescent="0.25">
      <c r="A59" s="54" t="s">
        <v>192</v>
      </c>
      <c r="B59" s="53">
        <v>95</v>
      </c>
      <c r="C59" s="16">
        <v>14402.462</v>
      </c>
      <c r="I59" s="41"/>
    </row>
    <row r="60" spans="1:9" x14ac:dyDescent="0.25">
      <c r="A60" s="54" t="s">
        <v>95</v>
      </c>
      <c r="B60" s="53">
        <v>79</v>
      </c>
      <c r="C60" s="16">
        <v>389.42899999999997</v>
      </c>
      <c r="D60" s="143">
        <v>25.1</v>
      </c>
    </row>
    <row r="61" spans="1:9" hidden="1" x14ac:dyDescent="0.25">
      <c r="A61" s="54" t="s">
        <v>191</v>
      </c>
      <c r="B61" s="53">
        <v>99</v>
      </c>
      <c r="C61" s="16">
        <v>3286.2820000000002</v>
      </c>
      <c r="D61" s="4"/>
      <c r="I61" s="41"/>
    </row>
    <row r="62" spans="1:9" hidden="1" x14ac:dyDescent="0.25">
      <c r="A62" s="54" t="s">
        <v>190</v>
      </c>
      <c r="B62" s="53">
        <v>99</v>
      </c>
      <c r="C62" s="16">
        <v>44555.81</v>
      </c>
      <c r="I62" s="41"/>
    </row>
    <row r="63" spans="1:9" hidden="1" x14ac:dyDescent="0.25">
      <c r="A63" s="54" t="s">
        <v>189</v>
      </c>
      <c r="B63" s="53">
        <v>99</v>
      </c>
      <c r="C63" s="16">
        <v>42409.874000000003</v>
      </c>
      <c r="D63" s="4"/>
      <c r="I63" s="41"/>
    </row>
    <row r="64" spans="1:9" hidden="1" x14ac:dyDescent="0.25">
      <c r="A64" s="54" t="s">
        <v>188</v>
      </c>
      <c r="B64" s="53">
        <v>45</v>
      </c>
      <c r="C64" s="16">
        <v>7423.8559999999998</v>
      </c>
      <c r="I64" s="41"/>
    </row>
    <row r="65" spans="1:9" hidden="1" x14ac:dyDescent="0.25">
      <c r="A65" s="54" t="s">
        <v>187</v>
      </c>
      <c r="B65" s="53">
        <v>98</v>
      </c>
      <c r="C65" s="16">
        <v>587.29700000000003</v>
      </c>
      <c r="I65" s="41"/>
    </row>
    <row r="66" spans="1:9" hidden="1" x14ac:dyDescent="0.25">
      <c r="A66" s="54" t="s">
        <v>48</v>
      </c>
      <c r="B66" s="53">
        <v>88</v>
      </c>
      <c r="C66" s="16">
        <v>2455.3690000000001</v>
      </c>
      <c r="I66" s="41"/>
    </row>
    <row r="67" spans="1:9" hidden="1" x14ac:dyDescent="0.25">
      <c r="A67" s="54" t="s">
        <v>186</v>
      </c>
      <c r="B67" s="53">
        <v>93</v>
      </c>
      <c r="C67" s="16">
        <v>40831.659</v>
      </c>
    </row>
    <row r="68" spans="1:9" x14ac:dyDescent="0.25">
      <c r="A68" s="54" t="s">
        <v>93</v>
      </c>
      <c r="B68" s="53">
        <v>94</v>
      </c>
      <c r="C68" s="16">
        <v>1124.655</v>
      </c>
      <c r="D68" s="143">
        <v>82</v>
      </c>
    </row>
    <row r="69" spans="1:9" hidden="1" x14ac:dyDescent="0.25">
      <c r="A69" s="54" t="s">
        <v>185</v>
      </c>
      <c r="B69" s="53">
        <v>99</v>
      </c>
      <c r="C69" s="16">
        <v>29328.083999999999</v>
      </c>
      <c r="I69" s="41"/>
    </row>
    <row r="70" spans="1:9" hidden="1" x14ac:dyDescent="0.25">
      <c r="A70" s="54" t="s">
        <v>184</v>
      </c>
      <c r="B70" s="53">
        <v>99</v>
      </c>
      <c r="C70" s="16">
        <v>6261.0690000000004</v>
      </c>
    </row>
    <row r="71" spans="1:9" hidden="1" x14ac:dyDescent="0.25">
      <c r="A71" s="54" t="s">
        <v>47</v>
      </c>
      <c r="B71" s="53">
        <v>92</v>
      </c>
      <c r="C71" s="16">
        <v>2688.9360000000001</v>
      </c>
      <c r="I71" s="41"/>
    </row>
    <row r="72" spans="1:9" x14ac:dyDescent="0.25">
      <c r="A72" s="54" t="s">
        <v>92</v>
      </c>
      <c r="B72" s="53">
        <v>57</v>
      </c>
      <c r="C72" s="16">
        <v>451.47</v>
      </c>
      <c r="D72" s="143">
        <v>40.299999999999997</v>
      </c>
      <c r="I72" s="41"/>
    </row>
    <row r="73" spans="1:9" hidden="1" x14ac:dyDescent="0.25">
      <c r="A73" s="54" t="s">
        <v>183</v>
      </c>
      <c r="B73" s="53">
        <v>68</v>
      </c>
      <c r="C73" s="16">
        <v>518.49099999999999</v>
      </c>
      <c r="D73" s="4"/>
      <c r="I73" s="41"/>
    </row>
    <row r="74" spans="1:9" hidden="1" x14ac:dyDescent="0.25">
      <c r="A74" s="54" t="s">
        <v>46</v>
      </c>
      <c r="B74" s="53">
        <v>98</v>
      </c>
      <c r="C74" s="16">
        <v>2629.2759999999998</v>
      </c>
      <c r="I74" s="41"/>
    </row>
    <row r="75" spans="1:9" x14ac:dyDescent="0.25">
      <c r="A75" s="54" t="s">
        <v>90</v>
      </c>
      <c r="B75" s="53">
        <v>59</v>
      </c>
      <c r="C75" s="16">
        <v>668.55899999999997</v>
      </c>
      <c r="D75" s="143">
        <v>48.7</v>
      </c>
      <c r="I75" s="41"/>
    </row>
    <row r="76" spans="1:9" x14ac:dyDescent="0.25">
      <c r="A76" s="54" t="s">
        <v>45</v>
      </c>
      <c r="B76" s="53">
        <v>98</v>
      </c>
      <c r="C76" s="16">
        <v>1891.57</v>
      </c>
      <c r="D76" s="143">
        <v>82.2</v>
      </c>
      <c r="I76" s="41"/>
    </row>
    <row r="77" spans="1:9" hidden="1" x14ac:dyDescent="0.25">
      <c r="A77" s="54" t="s">
        <v>182</v>
      </c>
      <c r="B77" s="53">
        <v>99</v>
      </c>
      <c r="C77" s="16">
        <v>12893.958000000001</v>
      </c>
      <c r="I77" s="41"/>
    </row>
    <row r="78" spans="1:9" hidden="1" x14ac:dyDescent="0.25">
      <c r="A78" s="54" t="s">
        <v>181</v>
      </c>
      <c r="B78" s="53">
        <v>96</v>
      </c>
      <c r="C78" s="16">
        <v>37853.417000000001</v>
      </c>
      <c r="I78" s="41"/>
    </row>
    <row r="79" spans="1:9" x14ac:dyDescent="0.25">
      <c r="A79" s="54" t="s">
        <v>44</v>
      </c>
      <c r="B79" s="53">
        <v>66</v>
      </c>
      <c r="C79" s="16">
        <v>1058.2260000000001</v>
      </c>
      <c r="D79" s="143">
        <v>32.6</v>
      </c>
      <c r="I79" s="41"/>
    </row>
    <row r="80" spans="1:9" x14ac:dyDescent="0.25">
      <c r="A80" s="54" t="s">
        <v>43</v>
      </c>
      <c r="B80" s="53">
        <v>82</v>
      </c>
      <c r="C80" s="16">
        <v>2327.2600000000002</v>
      </c>
      <c r="D80" s="143">
        <v>31.2</v>
      </c>
      <c r="I80" s="41"/>
    </row>
    <row r="81" spans="1:9" hidden="1" x14ac:dyDescent="0.25">
      <c r="A81" s="54" t="s">
        <v>180</v>
      </c>
      <c r="B81" s="53">
        <v>99</v>
      </c>
      <c r="C81" s="16">
        <v>4334.13</v>
      </c>
      <c r="D81" s="4"/>
      <c r="I81" s="41"/>
    </row>
    <row r="82" spans="1:9" hidden="1" x14ac:dyDescent="0.25">
      <c r="A82" s="54" t="s">
        <v>42</v>
      </c>
      <c r="B82" s="53">
        <v>65</v>
      </c>
      <c r="C82" s="16">
        <v>2087.259</v>
      </c>
      <c r="I82" s="41"/>
    </row>
    <row r="83" spans="1:9" hidden="1" x14ac:dyDescent="0.25">
      <c r="A83" s="54" t="s">
        <v>179</v>
      </c>
      <c r="B83" s="53">
        <v>93</v>
      </c>
      <c r="C83" s="16">
        <v>49863.415000000001</v>
      </c>
      <c r="I83" s="41"/>
    </row>
    <row r="84" spans="1:9" hidden="1" x14ac:dyDescent="0.25">
      <c r="A84" s="54" t="s">
        <v>178</v>
      </c>
      <c r="B84" s="53">
        <v>93</v>
      </c>
      <c r="C84" s="16">
        <v>26874.398000000001</v>
      </c>
      <c r="D84" s="4"/>
      <c r="I84" s="41"/>
    </row>
    <row r="85" spans="1:9" hidden="1" x14ac:dyDescent="0.25">
      <c r="A85" s="54" t="s">
        <v>177</v>
      </c>
      <c r="B85" s="53">
        <v>96</v>
      </c>
      <c r="C85" s="16">
        <v>35250.81</v>
      </c>
      <c r="D85" s="4"/>
    </row>
    <row r="86" spans="1:9" hidden="1" x14ac:dyDescent="0.25">
      <c r="A86" s="54" t="s">
        <v>176</v>
      </c>
      <c r="B86" s="53">
        <v>90</v>
      </c>
      <c r="C86" s="16">
        <v>4562.3389999999999</v>
      </c>
      <c r="I86" s="41"/>
    </row>
    <row r="87" spans="1:9" hidden="1" x14ac:dyDescent="0.25">
      <c r="A87" s="54" t="s">
        <v>175</v>
      </c>
      <c r="B87" s="53">
        <v>98</v>
      </c>
      <c r="C87" s="16">
        <v>39458.716</v>
      </c>
      <c r="I87" s="41"/>
    </row>
    <row r="88" spans="1:9" x14ac:dyDescent="0.25">
      <c r="A88" s="54" t="s">
        <v>41</v>
      </c>
      <c r="B88" s="53">
        <v>98</v>
      </c>
      <c r="C88" s="16">
        <v>4199.4979999999996</v>
      </c>
      <c r="D88" s="143">
        <v>88.8</v>
      </c>
    </row>
    <row r="89" spans="1:9" hidden="1" x14ac:dyDescent="0.25">
      <c r="A89" s="54" t="s">
        <v>174</v>
      </c>
      <c r="B89" s="53">
        <v>98</v>
      </c>
      <c r="C89" s="16">
        <v>7298.2569999999996</v>
      </c>
      <c r="I89" s="41"/>
    </row>
    <row r="90" spans="1:9" x14ac:dyDescent="0.25">
      <c r="A90" s="54" t="s">
        <v>89</v>
      </c>
      <c r="B90" s="53">
        <v>75</v>
      </c>
      <c r="C90" s="16">
        <v>761.50300000000004</v>
      </c>
      <c r="D90" s="143">
        <v>66.400000000000006</v>
      </c>
    </row>
    <row r="91" spans="1:9" hidden="1" x14ac:dyDescent="0.25">
      <c r="A91" s="54" t="s">
        <v>40</v>
      </c>
      <c r="B91" s="53">
        <v>86</v>
      </c>
      <c r="C91" s="16">
        <v>1285.9749999999999</v>
      </c>
    </row>
    <row r="92" spans="1:9" hidden="1" x14ac:dyDescent="0.25">
      <c r="A92" s="54" t="s">
        <v>173</v>
      </c>
      <c r="B92" s="53">
        <v>98</v>
      </c>
      <c r="C92" s="16">
        <v>30959.821</v>
      </c>
      <c r="I92" s="41"/>
    </row>
    <row r="93" spans="1:9" hidden="1" x14ac:dyDescent="0.25">
      <c r="A93" s="54" t="s">
        <v>172</v>
      </c>
      <c r="B93" s="53">
        <v>95</v>
      </c>
      <c r="C93" s="16">
        <v>880.69200000000001</v>
      </c>
      <c r="I93" s="41"/>
    </row>
    <row r="94" spans="1:9" hidden="1" x14ac:dyDescent="0.25">
      <c r="A94" s="54" t="s">
        <v>171</v>
      </c>
      <c r="B94" s="53">
        <v>57</v>
      </c>
      <c r="C94" s="16">
        <v>885.70600000000002</v>
      </c>
    </row>
    <row r="95" spans="1:9" hidden="1" x14ac:dyDescent="0.25">
      <c r="A95" s="54" t="s">
        <v>170</v>
      </c>
      <c r="B95" s="53">
        <v>95</v>
      </c>
      <c r="C95" s="16">
        <v>11465.611999999999</v>
      </c>
    </row>
    <row r="96" spans="1:9" hidden="1" x14ac:dyDescent="0.25">
      <c r="A96" s="54" t="s">
        <v>169</v>
      </c>
      <c r="B96" s="53">
        <v>74</v>
      </c>
      <c r="C96" s="16">
        <v>9054.1949999999997</v>
      </c>
      <c r="I96" s="41"/>
    </row>
    <row r="97" spans="1:9" hidden="1" x14ac:dyDescent="0.25">
      <c r="A97" s="54" t="s">
        <v>38</v>
      </c>
      <c r="B97" s="53">
        <v>83</v>
      </c>
      <c r="C97" s="16">
        <v>689.21199999999999</v>
      </c>
      <c r="D97" s="4"/>
      <c r="I97" s="41"/>
    </row>
    <row r="98" spans="1:9" x14ac:dyDescent="0.25">
      <c r="A98" s="54" t="s">
        <v>85</v>
      </c>
      <c r="B98" s="53">
        <v>64</v>
      </c>
      <c r="C98" s="16">
        <v>212.69</v>
      </c>
      <c r="D98" s="143">
        <v>36.9</v>
      </c>
      <c r="I98" s="41"/>
    </row>
    <row r="99" spans="1:9" hidden="1" x14ac:dyDescent="0.25">
      <c r="A99" s="54" t="s">
        <v>168</v>
      </c>
      <c r="B99" s="53">
        <v>98</v>
      </c>
      <c r="C99" s="16">
        <v>9371.3080000000009</v>
      </c>
      <c r="I99" s="41"/>
    </row>
    <row r="100" spans="1:9" hidden="1" x14ac:dyDescent="0.25">
      <c r="A100" s="54" t="s">
        <v>167</v>
      </c>
      <c r="B100" s="53">
        <v>98</v>
      </c>
      <c r="C100" s="16">
        <v>11055.52</v>
      </c>
    </row>
    <row r="101" spans="1:9" hidden="1" x14ac:dyDescent="0.25">
      <c r="A101" s="54" t="s">
        <v>166</v>
      </c>
      <c r="B101" s="53">
        <v>99</v>
      </c>
      <c r="C101" s="16">
        <v>106550.822</v>
      </c>
      <c r="D101" s="4"/>
      <c r="I101" s="41"/>
    </row>
    <row r="102" spans="1:9" x14ac:dyDescent="0.25">
      <c r="A102" s="54" t="s">
        <v>84</v>
      </c>
      <c r="B102" s="53">
        <v>78</v>
      </c>
      <c r="C102" s="16">
        <v>413.875</v>
      </c>
      <c r="D102" s="143">
        <v>54.6</v>
      </c>
      <c r="I102" s="41"/>
    </row>
    <row r="103" spans="1:9" hidden="1" x14ac:dyDescent="0.25">
      <c r="A103" s="54" t="s">
        <v>83</v>
      </c>
      <c r="B103" s="53">
        <v>93</v>
      </c>
      <c r="C103" s="16">
        <v>309.93200000000002</v>
      </c>
    </row>
    <row r="104" spans="1:9" hidden="1" x14ac:dyDescent="0.25">
      <c r="A104" s="54" t="s">
        <v>165</v>
      </c>
      <c r="B104" s="53">
        <v>95</v>
      </c>
      <c r="C104" s="16">
        <v>6917.1130000000003</v>
      </c>
      <c r="I104" s="41"/>
    </row>
    <row r="105" spans="1:9" x14ac:dyDescent="0.25">
      <c r="A105" s="54" t="s">
        <v>37</v>
      </c>
      <c r="B105" s="53">
        <v>98</v>
      </c>
      <c r="C105" s="16">
        <v>5499.4889999999996</v>
      </c>
      <c r="D105" s="143">
        <v>88.6</v>
      </c>
    </row>
    <row r="106" spans="1:9" x14ac:dyDescent="0.25">
      <c r="A106" s="54" t="s">
        <v>82</v>
      </c>
      <c r="B106" s="53">
        <v>74</v>
      </c>
      <c r="C106" s="16">
        <v>690.82299999999998</v>
      </c>
      <c r="D106" s="143">
        <v>52.6</v>
      </c>
      <c r="I106" s="41"/>
    </row>
    <row r="107" spans="1:9" hidden="1" x14ac:dyDescent="0.25">
      <c r="A107" s="54" t="s">
        <v>164</v>
      </c>
      <c r="B107" s="53">
        <v>73</v>
      </c>
      <c r="C107" s="16">
        <v>19576.591</v>
      </c>
      <c r="I107" s="41"/>
    </row>
    <row r="108" spans="1:9" hidden="1" x14ac:dyDescent="0.25">
      <c r="A108" s="54" t="s">
        <v>36</v>
      </c>
      <c r="B108" s="53">
        <v>93</v>
      </c>
      <c r="C108" s="16">
        <v>0</v>
      </c>
      <c r="D108" s="4"/>
      <c r="I108" s="41"/>
    </row>
    <row r="109" spans="1:9" hidden="1" x14ac:dyDescent="0.25">
      <c r="A109" s="54" t="s">
        <v>81</v>
      </c>
      <c r="B109" s="53">
        <v>64</v>
      </c>
      <c r="C109" s="16">
        <v>976.26300000000003</v>
      </c>
      <c r="D109" s="4"/>
      <c r="I109" s="41"/>
    </row>
    <row r="110" spans="1:9" hidden="1" x14ac:dyDescent="0.25">
      <c r="A110" s="54" t="s">
        <v>163</v>
      </c>
      <c r="B110" s="53">
        <v>99</v>
      </c>
      <c r="C110" s="16">
        <v>6951.3220000000001</v>
      </c>
    </row>
    <row r="111" spans="1:9" hidden="1" x14ac:dyDescent="0.25">
      <c r="A111" s="54" t="s">
        <v>162</v>
      </c>
      <c r="B111" s="53">
        <v>89</v>
      </c>
      <c r="C111" s="16">
        <v>8202.7710000000006</v>
      </c>
      <c r="I111" s="41"/>
    </row>
    <row r="112" spans="1:9" hidden="1" x14ac:dyDescent="0.25">
      <c r="A112" s="54" t="s">
        <v>161</v>
      </c>
      <c r="B112" s="53">
        <v>91</v>
      </c>
      <c r="C112" s="16">
        <v>0</v>
      </c>
      <c r="D112" s="4"/>
    </row>
    <row r="113" spans="1:9" hidden="1" x14ac:dyDescent="0.25">
      <c r="A113" s="54" t="s">
        <v>160</v>
      </c>
      <c r="B113" s="53">
        <v>99</v>
      </c>
      <c r="C113" s="16">
        <v>0</v>
      </c>
    </row>
    <row r="114" spans="1:9" hidden="1" x14ac:dyDescent="0.25">
      <c r="A114" s="54" t="s">
        <v>33</v>
      </c>
      <c r="B114" s="53">
        <v>95</v>
      </c>
      <c r="C114" s="16">
        <v>1688.163</v>
      </c>
      <c r="I114" s="41"/>
    </row>
    <row r="115" spans="1:9" hidden="1" x14ac:dyDescent="0.25">
      <c r="A115" s="54" t="s">
        <v>159</v>
      </c>
      <c r="B115" s="53">
        <v>92</v>
      </c>
      <c r="C115" s="16">
        <v>6635</v>
      </c>
    </row>
    <row r="116" spans="1:9" x14ac:dyDescent="0.25">
      <c r="A116" s="54" t="s">
        <v>32</v>
      </c>
      <c r="B116" s="53">
        <v>99</v>
      </c>
      <c r="C116" s="16">
        <v>2899.46</v>
      </c>
      <c r="D116" s="143">
        <v>75.599999999999994</v>
      </c>
      <c r="I116" s="41"/>
    </row>
    <row r="117" spans="1:9" hidden="1" x14ac:dyDescent="0.25">
      <c r="A117" s="54" t="s">
        <v>80</v>
      </c>
      <c r="B117" s="53">
        <v>76</v>
      </c>
      <c r="C117" s="16">
        <v>475.27600000000001</v>
      </c>
      <c r="I117" s="41"/>
    </row>
    <row r="118" spans="1:9" hidden="1" x14ac:dyDescent="0.25">
      <c r="A118" s="54" t="s">
        <v>79</v>
      </c>
      <c r="B118" s="53">
        <v>90</v>
      </c>
      <c r="C118" s="16">
        <v>587.28200000000004</v>
      </c>
      <c r="D118" s="4"/>
    </row>
    <row r="119" spans="1:9" x14ac:dyDescent="0.25">
      <c r="A119" s="54" t="s">
        <v>158</v>
      </c>
      <c r="B119" s="53">
        <v>83</v>
      </c>
      <c r="C119" s="16">
        <v>4477.5889999999999</v>
      </c>
      <c r="D119" s="143">
        <v>68.2</v>
      </c>
      <c r="I119" s="41"/>
    </row>
    <row r="120" spans="1:9" x14ac:dyDescent="0.25">
      <c r="A120" s="54" t="s">
        <v>78</v>
      </c>
      <c r="B120" s="53">
        <v>82</v>
      </c>
      <c r="C120" s="16">
        <v>461.95100000000002</v>
      </c>
      <c r="D120" s="143">
        <v>31.3</v>
      </c>
      <c r="I120" s="41"/>
    </row>
    <row r="121" spans="1:9" hidden="1" x14ac:dyDescent="0.25">
      <c r="A121" s="54" t="s">
        <v>156</v>
      </c>
      <c r="B121" s="53">
        <v>97</v>
      </c>
      <c r="C121" s="16">
        <v>48188.413999999997</v>
      </c>
      <c r="I121" s="41"/>
    </row>
    <row r="122" spans="1:9" hidden="1" x14ac:dyDescent="0.25">
      <c r="A122" s="54" t="s">
        <v>155</v>
      </c>
      <c r="B122" s="53">
        <v>92</v>
      </c>
      <c r="C122" s="16">
        <v>27283.507000000001</v>
      </c>
    </row>
    <row r="123" spans="1:9" hidden="1" x14ac:dyDescent="0.25">
      <c r="A123" s="54" t="s">
        <v>31</v>
      </c>
      <c r="B123" s="53">
        <v>98</v>
      </c>
      <c r="C123" s="16">
        <v>1082.114</v>
      </c>
      <c r="I123" s="41"/>
    </row>
    <row r="124" spans="1:9" x14ac:dyDescent="0.25">
      <c r="A124" s="54" t="s">
        <v>77</v>
      </c>
      <c r="B124" s="53">
        <v>70</v>
      </c>
      <c r="C124" s="16">
        <v>371.56700000000001</v>
      </c>
      <c r="D124" s="143">
        <v>32.4</v>
      </c>
      <c r="I124" s="41"/>
    </row>
    <row r="125" spans="1:9" x14ac:dyDescent="0.25">
      <c r="A125" s="54" t="s">
        <v>110</v>
      </c>
      <c r="B125" s="53">
        <v>42</v>
      </c>
      <c r="C125" s="16">
        <v>1111.7470000000001</v>
      </c>
      <c r="D125" s="143">
        <v>20.2</v>
      </c>
      <c r="I125" s="41"/>
    </row>
    <row r="126" spans="1:9" hidden="1" x14ac:dyDescent="0.25">
      <c r="A126" s="54" t="s">
        <v>153</v>
      </c>
      <c r="B126" s="53">
        <v>92</v>
      </c>
      <c r="C126" s="16">
        <v>78182.771999999997</v>
      </c>
      <c r="I126" s="41"/>
    </row>
    <row r="127" spans="1:9" hidden="1" x14ac:dyDescent="0.25">
      <c r="A127" s="54" t="s">
        <v>152</v>
      </c>
      <c r="B127" s="53">
        <v>98</v>
      </c>
      <c r="C127" s="16">
        <v>16255.177</v>
      </c>
      <c r="D127" s="4"/>
      <c r="I127" s="41"/>
    </row>
    <row r="128" spans="1:9" x14ac:dyDescent="0.25">
      <c r="A128" s="54" t="s">
        <v>151</v>
      </c>
      <c r="B128" s="53">
        <v>85</v>
      </c>
      <c r="C128" s="16">
        <v>989.25300000000004</v>
      </c>
      <c r="D128" s="143">
        <v>20.9</v>
      </c>
      <c r="I128" s="41"/>
    </row>
    <row r="129" spans="1:9" hidden="1" x14ac:dyDescent="0.25">
      <c r="A129" s="54" t="s">
        <v>149</v>
      </c>
      <c r="B129" s="53">
        <v>84</v>
      </c>
      <c r="C129" s="16">
        <v>6950.549</v>
      </c>
      <c r="I129" s="41"/>
    </row>
    <row r="130" spans="1:9" hidden="1" x14ac:dyDescent="0.25">
      <c r="A130" s="54" t="s">
        <v>109</v>
      </c>
      <c r="B130" s="53">
        <v>64</v>
      </c>
      <c r="C130" s="16">
        <v>1271.616</v>
      </c>
      <c r="I130" s="41"/>
    </row>
    <row r="131" spans="1:9" hidden="1" x14ac:dyDescent="0.25">
      <c r="A131" s="54" t="s">
        <v>27</v>
      </c>
      <c r="B131" s="53">
        <v>92</v>
      </c>
      <c r="C131" s="16">
        <v>2264.8890000000001</v>
      </c>
      <c r="D131" s="4"/>
    </row>
    <row r="132" spans="1:9" hidden="1" x14ac:dyDescent="0.25">
      <c r="A132" s="54" t="s">
        <v>148</v>
      </c>
      <c r="B132" s="53">
        <v>93</v>
      </c>
      <c r="C132" s="16">
        <v>4363.4229999999998</v>
      </c>
      <c r="F132" t="s">
        <v>608</v>
      </c>
      <c r="G132">
        <v>0.26819999999999999</v>
      </c>
    </row>
    <row r="133" spans="1:9" x14ac:dyDescent="0.25">
      <c r="A133" s="54" t="s">
        <v>26</v>
      </c>
      <c r="B133" s="53">
        <v>87</v>
      </c>
      <c r="C133" s="16">
        <v>1747.8230000000001</v>
      </c>
      <c r="D133" s="143">
        <v>40.9</v>
      </c>
      <c r="I133" s="41"/>
    </row>
    <row r="134" spans="1:9" hidden="1" x14ac:dyDescent="0.25">
      <c r="A134" s="54" t="s">
        <v>147</v>
      </c>
      <c r="B134" s="53">
        <v>99</v>
      </c>
      <c r="C134" s="16">
        <v>11298.879000000001</v>
      </c>
      <c r="I134" s="41"/>
    </row>
    <row r="135" spans="1:9" hidden="1" x14ac:dyDescent="0.25">
      <c r="A135" s="54" t="s">
        <v>146</v>
      </c>
      <c r="B135" s="53">
        <v>96</v>
      </c>
      <c r="C135" s="16">
        <v>22027.594000000001</v>
      </c>
    </row>
    <row r="136" spans="1:9" hidden="1" x14ac:dyDescent="0.25">
      <c r="A136" s="54" t="s">
        <v>145</v>
      </c>
      <c r="B136" s="53">
        <v>99</v>
      </c>
      <c r="C136" s="16">
        <v>59989.82</v>
      </c>
      <c r="E136">
        <v>0.01</v>
      </c>
      <c r="I136" s="41"/>
    </row>
    <row r="137" spans="1:9" hidden="1" x14ac:dyDescent="0.25">
      <c r="A137" s="54" t="s">
        <v>144</v>
      </c>
      <c r="B137" s="53">
        <v>94</v>
      </c>
      <c r="C137" s="16">
        <v>17074.474999999999</v>
      </c>
      <c r="I137" s="41"/>
    </row>
    <row r="138" spans="1:9" x14ac:dyDescent="0.25">
      <c r="A138" s="54" t="s">
        <v>143</v>
      </c>
      <c r="B138" s="53">
        <v>85</v>
      </c>
      <c r="C138" s="16">
        <v>1524.232</v>
      </c>
      <c r="D138" s="143">
        <v>9.8000000000000007</v>
      </c>
    </row>
    <row r="139" spans="1:9" hidden="1" x14ac:dyDescent="0.25">
      <c r="A139" s="54" t="s">
        <v>142</v>
      </c>
      <c r="B139" s="53">
        <v>97</v>
      </c>
      <c r="C139" s="16">
        <v>7609.6030000000001</v>
      </c>
      <c r="D139" s="4"/>
      <c r="I139" s="41"/>
    </row>
    <row r="140" spans="1:9" hidden="1" x14ac:dyDescent="0.25">
      <c r="A140" s="54" t="s">
        <v>141</v>
      </c>
      <c r="B140" s="53">
        <v>98</v>
      </c>
      <c r="C140" s="16">
        <v>8614.0259999999998</v>
      </c>
      <c r="I140" s="41"/>
    </row>
    <row r="141" spans="1:9" x14ac:dyDescent="0.25">
      <c r="A141" s="54" t="s">
        <v>76</v>
      </c>
      <c r="B141" s="53">
        <v>97</v>
      </c>
      <c r="C141" s="16">
        <v>532.64099999999996</v>
      </c>
      <c r="D141" s="143">
        <v>66.099999999999994</v>
      </c>
      <c r="I141" s="41"/>
    </row>
    <row r="142" spans="1:9" hidden="1" x14ac:dyDescent="0.25">
      <c r="A142" s="54" t="s">
        <v>140</v>
      </c>
      <c r="B142" s="53">
        <v>99</v>
      </c>
      <c r="C142" s="16">
        <v>9740.0149999999994</v>
      </c>
      <c r="I142" s="41"/>
    </row>
    <row r="143" spans="1:9" hidden="1" x14ac:dyDescent="0.25">
      <c r="A143" s="54" t="s">
        <v>139</v>
      </c>
      <c r="B143" s="53">
        <v>95</v>
      </c>
      <c r="C143" s="16">
        <v>5589.0709999999999</v>
      </c>
      <c r="D143" s="4"/>
      <c r="I143" s="41"/>
    </row>
    <row r="144" spans="1:9" hidden="1" x14ac:dyDescent="0.25">
      <c r="A144" s="54" t="s">
        <v>138</v>
      </c>
      <c r="B144" s="53">
        <v>99</v>
      </c>
      <c r="C144" s="16">
        <v>5289.3819999999996</v>
      </c>
      <c r="I144" s="41"/>
    </row>
    <row r="145" spans="1:9" hidden="1" x14ac:dyDescent="0.25">
      <c r="A145" s="54" t="s">
        <v>108</v>
      </c>
      <c r="B145" s="53">
        <v>98</v>
      </c>
      <c r="C145" s="16">
        <v>1157.0830000000001</v>
      </c>
      <c r="I145" s="41"/>
    </row>
    <row r="146" spans="1:9" hidden="1" x14ac:dyDescent="0.25">
      <c r="A146" s="54" t="s">
        <v>136</v>
      </c>
      <c r="B146" s="53">
        <v>98</v>
      </c>
      <c r="C146" s="16">
        <v>14744.609</v>
      </c>
      <c r="I146" s="41"/>
    </row>
    <row r="147" spans="1:9" x14ac:dyDescent="0.25">
      <c r="A147" s="54" t="s">
        <v>23</v>
      </c>
      <c r="B147" s="53">
        <v>86</v>
      </c>
      <c r="C147" s="16">
        <v>997.60799999999995</v>
      </c>
      <c r="D147" s="143">
        <v>61.3</v>
      </c>
      <c r="I147" s="41"/>
    </row>
    <row r="148" spans="1:9" hidden="1" x14ac:dyDescent="0.25">
      <c r="A148" s="54" t="s">
        <v>135</v>
      </c>
      <c r="B148" s="53">
        <v>95</v>
      </c>
      <c r="C148" s="16">
        <v>5642.1350000000002</v>
      </c>
      <c r="I148" s="41"/>
    </row>
    <row r="149" spans="1:9" hidden="1" x14ac:dyDescent="0.25">
      <c r="A149" s="54" t="s">
        <v>134</v>
      </c>
      <c r="B149" s="53">
        <v>99</v>
      </c>
      <c r="C149" s="16">
        <v>9052.9920000000002</v>
      </c>
      <c r="I149" s="41"/>
    </row>
    <row r="150" spans="1:9" x14ac:dyDescent="0.25">
      <c r="A150" s="54" t="s">
        <v>75</v>
      </c>
      <c r="B150" s="53">
        <v>75</v>
      </c>
      <c r="C150" s="16">
        <v>325.66300000000001</v>
      </c>
      <c r="D150" s="143">
        <v>45.5</v>
      </c>
      <c r="I150" s="41"/>
    </row>
    <row r="151" spans="1:9" hidden="1" x14ac:dyDescent="0.25">
      <c r="A151" s="54" t="s">
        <v>133</v>
      </c>
      <c r="B151" s="53">
        <v>97</v>
      </c>
      <c r="C151" s="16">
        <v>36112.449999999997</v>
      </c>
      <c r="I151" s="41"/>
    </row>
    <row r="152" spans="1:9" hidden="1" x14ac:dyDescent="0.25">
      <c r="A152" s="54" t="s">
        <v>132</v>
      </c>
      <c r="B152" s="53">
        <v>99</v>
      </c>
      <c r="C152" s="16">
        <v>16187.482</v>
      </c>
      <c r="I152" s="41"/>
    </row>
    <row r="153" spans="1:9" hidden="1" x14ac:dyDescent="0.25">
      <c r="A153" s="54" t="s">
        <v>131</v>
      </c>
      <c r="B153" s="53">
        <v>96</v>
      </c>
      <c r="C153" s="16">
        <v>24450.31</v>
      </c>
    </row>
    <row r="154" spans="1:9" hidden="1" x14ac:dyDescent="0.25">
      <c r="A154" s="54" t="s">
        <v>74</v>
      </c>
      <c r="B154" s="53">
        <v>81</v>
      </c>
      <c r="C154" s="16">
        <v>1278.6869999999999</v>
      </c>
    </row>
    <row r="155" spans="1:9" hidden="1" x14ac:dyDescent="0.25">
      <c r="A155" s="54" t="s">
        <v>129</v>
      </c>
      <c r="B155" s="53">
        <v>69</v>
      </c>
      <c r="C155" s="16">
        <v>5757.8429999999998</v>
      </c>
      <c r="D155" s="4"/>
      <c r="I155" s="41"/>
    </row>
    <row r="156" spans="1:9" hidden="1" x14ac:dyDescent="0.25">
      <c r="A156" s="54" t="s">
        <v>128</v>
      </c>
      <c r="B156" s="53">
        <v>96</v>
      </c>
      <c r="C156" s="16">
        <v>32030.269</v>
      </c>
    </row>
    <row r="157" spans="1:9" hidden="1" x14ac:dyDescent="0.25">
      <c r="A157" s="54" t="s">
        <v>22</v>
      </c>
      <c r="B157" s="53">
        <v>97</v>
      </c>
      <c r="C157" s="16">
        <v>2073.79</v>
      </c>
    </row>
    <row r="158" spans="1:9" hidden="1" x14ac:dyDescent="0.25">
      <c r="A158" s="54" t="s">
        <v>21</v>
      </c>
      <c r="B158" s="53">
        <v>84</v>
      </c>
      <c r="C158" s="16">
        <v>1426.5340000000001</v>
      </c>
      <c r="I158" s="41"/>
    </row>
    <row r="159" spans="1:9" hidden="1" x14ac:dyDescent="0.25">
      <c r="A159" s="54" t="s">
        <v>127</v>
      </c>
      <c r="B159" s="53">
        <v>87</v>
      </c>
      <c r="C159" s="16">
        <v>6231.2460000000001</v>
      </c>
    </row>
    <row r="160" spans="1:9" x14ac:dyDescent="0.25">
      <c r="A160" s="54" t="s">
        <v>20</v>
      </c>
      <c r="B160" s="53">
        <v>95</v>
      </c>
      <c r="C160" s="16">
        <v>2541.86</v>
      </c>
      <c r="D160" s="143">
        <v>82.4</v>
      </c>
      <c r="I160" s="41"/>
    </row>
    <row r="161" spans="1:9" hidden="1" x14ac:dyDescent="0.25">
      <c r="A161" s="54" t="s">
        <v>126</v>
      </c>
      <c r="B161" s="53">
        <v>98</v>
      </c>
      <c r="C161" s="16">
        <v>43403.915999999997</v>
      </c>
      <c r="I161" s="41"/>
    </row>
    <row r="162" spans="1:9" hidden="1" x14ac:dyDescent="0.25">
      <c r="A162" s="54" t="s">
        <v>125</v>
      </c>
      <c r="B162" s="53">
        <v>95</v>
      </c>
      <c r="C162" s="16">
        <v>63535.942000000003</v>
      </c>
      <c r="I162" s="41"/>
    </row>
    <row r="163" spans="1:9" hidden="1" x14ac:dyDescent="0.25">
      <c r="A163" s="54" t="s">
        <v>19</v>
      </c>
      <c r="B163" s="53">
        <v>80</v>
      </c>
      <c r="C163" s="16">
        <v>2678.4140000000002</v>
      </c>
      <c r="D163" s="4"/>
    </row>
    <row r="164" spans="1:9" hidden="1" x14ac:dyDescent="0.25">
      <c r="A164" s="54" t="s">
        <v>72</v>
      </c>
      <c r="B164" s="53">
        <v>93</v>
      </c>
      <c r="C164" s="16">
        <v>666.97</v>
      </c>
    </row>
    <row r="165" spans="1:9" hidden="1" x14ac:dyDescent="0.25">
      <c r="A165" s="54" t="s">
        <v>18</v>
      </c>
      <c r="B165" s="53">
        <v>99</v>
      </c>
      <c r="C165" s="16">
        <v>4151.2979999999998</v>
      </c>
      <c r="I165" s="41"/>
    </row>
    <row r="166" spans="1:9" hidden="1" x14ac:dyDescent="0.25">
      <c r="A166" s="54" t="s">
        <v>124</v>
      </c>
      <c r="B166" s="53">
        <v>96</v>
      </c>
      <c r="C166" s="16">
        <v>4515</v>
      </c>
      <c r="I166" s="41"/>
    </row>
    <row r="167" spans="1:9" x14ac:dyDescent="0.25">
      <c r="A167" s="54" t="s">
        <v>17</v>
      </c>
      <c r="B167" s="53">
        <v>72</v>
      </c>
      <c r="C167" s="16">
        <v>533.54</v>
      </c>
      <c r="D167" s="143">
        <v>47</v>
      </c>
      <c r="I167" s="41"/>
    </row>
    <row r="168" spans="1:9" hidden="1" x14ac:dyDescent="0.25">
      <c r="A168" s="54" t="s">
        <v>70</v>
      </c>
      <c r="B168" s="53">
        <v>89</v>
      </c>
      <c r="C168" s="16">
        <v>466.33699999999999</v>
      </c>
      <c r="I168" s="41"/>
    </row>
    <row r="169" spans="1:9" hidden="1" x14ac:dyDescent="0.25">
      <c r="A169" s="54" t="s">
        <v>16</v>
      </c>
      <c r="B169" s="53">
        <v>99</v>
      </c>
      <c r="C169" s="16">
        <v>3260.7020000000002</v>
      </c>
      <c r="I169" s="41"/>
    </row>
    <row r="170" spans="1:9" hidden="1" x14ac:dyDescent="0.25">
      <c r="A170" s="54" t="s">
        <v>123</v>
      </c>
      <c r="B170" s="53">
        <v>90</v>
      </c>
      <c r="C170" s="16">
        <v>21239</v>
      </c>
      <c r="I170" s="41"/>
    </row>
    <row r="171" spans="1:9" hidden="1" x14ac:dyDescent="0.25">
      <c r="A171" s="54" t="s">
        <v>15</v>
      </c>
      <c r="B171" s="53">
        <v>99</v>
      </c>
      <c r="C171" s="16">
        <v>4170.9319999999998</v>
      </c>
      <c r="I171" s="41"/>
    </row>
    <row r="172" spans="1:9" hidden="1" x14ac:dyDescent="0.25">
      <c r="A172" s="54" t="s">
        <v>122</v>
      </c>
      <c r="B172" s="53">
        <v>96</v>
      </c>
      <c r="C172" s="16">
        <v>8711.1610000000001</v>
      </c>
      <c r="D172" s="4"/>
      <c r="I172" s="41"/>
    </row>
    <row r="173" spans="1:9" hidden="1" x14ac:dyDescent="0.25">
      <c r="A173" s="54" t="s">
        <v>121</v>
      </c>
      <c r="B173" s="53">
        <v>96</v>
      </c>
      <c r="C173" s="16">
        <v>3451.4839999999999</v>
      </c>
      <c r="I173" s="41"/>
    </row>
    <row r="174" spans="1:9" hidden="1" x14ac:dyDescent="0.25">
      <c r="A174" s="54" t="s">
        <v>12</v>
      </c>
      <c r="B174" s="53">
        <v>89</v>
      </c>
      <c r="C174" s="16">
        <v>3600</v>
      </c>
      <c r="I174" s="41"/>
    </row>
    <row r="175" spans="1:9" x14ac:dyDescent="0.25">
      <c r="A175" s="54" t="s">
        <v>69</v>
      </c>
      <c r="B175" s="53">
        <v>64</v>
      </c>
      <c r="C175" s="16">
        <v>481.86399999999998</v>
      </c>
      <c r="D175" s="143">
        <v>2.2000000000000002</v>
      </c>
    </row>
    <row r="176" spans="1:9" hidden="1" x14ac:dyDescent="0.25">
      <c r="A176" s="54" t="s">
        <v>11</v>
      </c>
      <c r="B176" s="53">
        <v>90</v>
      </c>
      <c r="C176" s="16">
        <v>2568.6529999999998</v>
      </c>
    </row>
    <row r="177" spans="1:4" hidden="1" x14ac:dyDescent="0.25">
      <c r="A177" s="54" t="s">
        <v>120</v>
      </c>
      <c r="B177" s="53">
        <v>92</v>
      </c>
      <c r="C177" s="16">
        <v>55081.046999999999</v>
      </c>
    </row>
    <row r="178" spans="1:4" hidden="1" x14ac:dyDescent="0.25">
      <c r="A178" s="54" t="s">
        <v>119</v>
      </c>
      <c r="B178" s="53">
        <v>93</v>
      </c>
      <c r="C178" s="16">
        <v>35315.269999999997</v>
      </c>
    </row>
    <row r="179" spans="1:4" hidden="1" x14ac:dyDescent="0.25">
      <c r="A179" s="54" t="s">
        <v>118</v>
      </c>
      <c r="B179" s="53">
        <v>85</v>
      </c>
      <c r="C179" s="16">
        <v>516.95500000000004</v>
      </c>
    </row>
    <row r="180" spans="1:4" hidden="1" x14ac:dyDescent="0.25">
      <c r="A180" s="54" t="s">
        <v>117</v>
      </c>
      <c r="B180" s="53">
        <v>95</v>
      </c>
      <c r="C180" s="16">
        <v>45934.468999999997</v>
      </c>
    </row>
    <row r="181" spans="1:4" hidden="1" x14ac:dyDescent="0.25">
      <c r="A181" s="54" t="s">
        <v>116</v>
      </c>
      <c r="B181" s="53">
        <v>95</v>
      </c>
      <c r="C181" s="16">
        <v>9364.1190000000006</v>
      </c>
    </row>
    <row r="182" spans="1:4" hidden="1" x14ac:dyDescent="0.25">
      <c r="A182" s="54" t="s">
        <v>9</v>
      </c>
      <c r="B182" s="53">
        <v>98</v>
      </c>
      <c r="C182" s="16">
        <v>1198.8240000000001</v>
      </c>
    </row>
    <row r="183" spans="1:4" hidden="1" x14ac:dyDescent="0.25">
      <c r="A183" s="54" t="s">
        <v>8</v>
      </c>
      <c r="B183" s="53">
        <v>68</v>
      </c>
      <c r="C183" s="16">
        <v>2522.998</v>
      </c>
    </row>
    <row r="184" spans="1:4" hidden="1" x14ac:dyDescent="0.25">
      <c r="A184" s="54" t="s">
        <v>115</v>
      </c>
      <c r="B184" s="53">
        <v>83</v>
      </c>
      <c r="C184" s="16">
        <v>11382.960999999999</v>
      </c>
    </row>
    <row r="185" spans="1:4" hidden="1" x14ac:dyDescent="0.25">
      <c r="A185" s="54" t="s">
        <v>114</v>
      </c>
      <c r="B185" s="53">
        <v>96</v>
      </c>
      <c r="C185" s="16">
        <v>1068.317</v>
      </c>
      <c r="D185" s="4"/>
    </row>
    <row r="186" spans="1:4" hidden="1" x14ac:dyDescent="0.25">
      <c r="A186" s="54" t="s">
        <v>107</v>
      </c>
      <c r="B186" s="53">
        <v>66</v>
      </c>
      <c r="C186" s="16">
        <v>1060.962</v>
      </c>
      <c r="D186" s="4"/>
    </row>
    <row r="187" spans="1:4" x14ac:dyDescent="0.25">
      <c r="A187" s="54" t="s">
        <v>68</v>
      </c>
      <c r="B187" s="53">
        <v>81</v>
      </c>
      <c r="C187" s="16">
        <v>989.952</v>
      </c>
      <c r="D187" s="143">
        <v>66.900000000000006</v>
      </c>
    </row>
    <row r="188" spans="1:4" x14ac:dyDescent="0.25">
      <c r="A188" s="54" t="s">
        <v>67</v>
      </c>
      <c r="B188" s="53">
        <v>73</v>
      </c>
      <c r="C188" s="16">
        <v>464.101</v>
      </c>
      <c r="D188" s="143">
        <v>58.7</v>
      </c>
    </row>
    <row r="189" spans="1:4" x14ac:dyDescent="0.25">
      <c r="A189" s="52"/>
      <c r="B189" s="52"/>
    </row>
    <row r="190" spans="1:4" x14ac:dyDescent="0.25">
      <c r="A190" s="52"/>
      <c r="B190" s="52"/>
    </row>
    <row r="193" spans="1:2" x14ac:dyDescent="0.25">
      <c r="A193" s="52"/>
      <c r="B193" s="52"/>
    </row>
    <row r="194" spans="1:2" x14ac:dyDescent="0.25">
      <c r="A194" s="52"/>
      <c r="B194" s="52"/>
    </row>
    <row r="195" spans="1:2" x14ac:dyDescent="0.25">
      <c r="A195" s="52"/>
      <c r="B195" s="52"/>
    </row>
  </sheetData>
  <autoFilter ref="A1:D188">
    <filterColumn colId="3">
      <customFilters>
        <customFilter operator="notEqual" val=" "/>
      </customFilters>
    </filterColumn>
  </autoFilter>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M202"/>
  <sheetViews>
    <sheetView workbookViewId="0">
      <selection activeCell="D4" sqref="D4"/>
    </sheetView>
  </sheetViews>
  <sheetFormatPr defaultRowHeight="15" x14ac:dyDescent="0.25"/>
  <cols>
    <col min="1" max="1" width="25.5703125" style="115" customWidth="1"/>
    <col min="2" max="2" width="9.140625" style="115"/>
    <col min="3" max="3" width="27.42578125" style="115" customWidth="1"/>
    <col min="4" max="4" width="20.42578125" style="115" bestFit="1" customWidth="1"/>
    <col min="5" max="7" width="9.140625" style="115"/>
    <col min="8" max="8" width="35.85546875" style="115" bestFit="1" customWidth="1"/>
    <col min="9" max="9" width="20.42578125" style="115" bestFit="1" customWidth="1"/>
    <col min="10" max="256" width="9.140625" style="115"/>
    <col min="257" max="257" width="25.5703125" style="115" customWidth="1"/>
    <col min="258" max="258" width="9.140625" style="115"/>
    <col min="259" max="259" width="27.42578125" style="115" customWidth="1"/>
    <col min="260" max="260" width="20.42578125" style="115" bestFit="1" customWidth="1"/>
    <col min="261" max="263" width="9.140625" style="115"/>
    <col min="264" max="264" width="35.85546875" style="115" bestFit="1" customWidth="1"/>
    <col min="265" max="265" width="20.42578125" style="115" bestFit="1" customWidth="1"/>
    <col min="266" max="512" width="9.140625" style="115"/>
    <col min="513" max="513" width="25.5703125" style="115" customWidth="1"/>
    <col min="514" max="514" width="9.140625" style="115"/>
    <col min="515" max="515" width="27.42578125" style="115" customWidth="1"/>
    <col min="516" max="516" width="20.42578125" style="115" bestFit="1" customWidth="1"/>
    <col min="517" max="519" width="9.140625" style="115"/>
    <col min="520" max="520" width="35.85546875" style="115" bestFit="1" customWidth="1"/>
    <col min="521" max="521" width="20.42578125" style="115" bestFit="1" customWidth="1"/>
    <col min="522" max="768" width="9.140625" style="115"/>
    <col min="769" max="769" width="25.5703125" style="115" customWidth="1"/>
    <col min="770" max="770" width="9.140625" style="115"/>
    <col min="771" max="771" width="27.42578125" style="115" customWidth="1"/>
    <col min="772" max="772" width="20.42578125" style="115" bestFit="1" customWidth="1"/>
    <col min="773" max="775" width="9.140625" style="115"/>
    <col min="776" max="776" width="35.85546875" style="115" bestFit="1" customWidth="1"/>
    <col min="777" max="777" width="20.42578125" style="115" bestFit="1" customWidth="1"/>
    <col min="778" max="1024" width="9.140625" style="115"/>
    <col min="1025" max="1025" width="25.5703125" style="115" customWidth="1"/>
    <col min="1026" max="1026" width="9.140625" style="115"/>
    <col min="1027" max="1027" width="27.42578125" style="115" customWidth="1"/>
    <col min="1028" max="1028" width="20.42578125" style="115" bestFit="1" customWidth="1"/>
    <col min="1029" max="1031" width="9.140625" style="115"/>
    <col min="1032" max="1032" width="35.85546875" style="115" bestFit="1" customWidth="1"/>
    <col min="1033" max="1033" width="20.42578125" style="115" bestFit="1" customWidth="1"/>
    <col min="1034" max="1280" width="9.140625" style="115"/>
    <col min="1281" max="1281" width="25.5703125" style="115" customWidth="1"/>
    <col min="1282" max="1282" width="9.140625" style="115"/>
    <col min="1283" max="1283" width="27.42578125" style="115" customWidth="1"/>
    <col min="1284" max="1284" width="20.42578125" style="115" bestFit="1" customWidth="1"/>
    <col min="1285" max="1287" width="9.140625" style="115"/>
    <col min="1288" max="1288" width="35.85546875" style="115" bestFit="1" customWidth="1"/>
    <col min="1289" max="1289" width="20.42578125" style="115" bestFit="1" customWidth="1"/>
    <col min="1290" max="1536" width="9.140625" style="115"/>
    <col min="1537" max="1537" width="25.5703125" style="115" customWidth="1"/>
    <col min="1538" max="1538" width="9.140625" style="115"/>
    <col min="1539" max="1539" width="27.42578125" style="115" customWidth="1"/>
    <col min="1540" max="1540" width="20.42578125" style="115" bestFit="1" customWidth="1"/>
    <col min="1541" max="1543" width="9.140625" style="115"/>
    <col min="1544" max="1544" width="35.85546875" style="115" bestFit="1" customWidth="1"/>
    <col min="1545" max="1545" width="20.42578125" style="115" bestFit="1" customWidth="1"/>
    <col min="1546" max="1792" width="9.140625" style="115"/>
    <col min="1793" max="1793" width="25.5703125" style="115" customWidth="1"/>
    <col min="1794" max="1794" width="9.140625" style="115"/>
    <col min="1795" max="1795" width="27.42578125" style="115" customWidth="1"/>
    <col min="1796" max="1796" width="20.42578125" style="115" bestFit="1" customWidth="1"/>
    <col min="1797" max="1799" width="9.140625" style="115"/>
    <col min="1800" max="1800" width="35.85546875" style="115" bestFit="1" customWidth="1"/>
    <col min="1801" max="1801" width="20.42578125" style="115" bestFit="1" customWidth="1"/>
    <col min="1802" max="2048" width="9.140625" style="115"/>
    <col min="2049" max="2049" width="25.5703125" style="115" customWidth="1"/>
    <col min="2050" max="2050" width="9.140625" style="115"/>
    <col min="2051" max="2051" width="27.42578125" style="115" customWidth="1"/>
    <col min="2052" max="2052" width="20.42578125" style="115" bestFit="1" customWidth="1"/>
    <col min="2053" max="2055" width="9.140625" style="115"/>
    <col min="2056" max="2056" width="35.85546875" style="115" bestFit="1" customWidth="1"/>
    <col min="2057" max="2057" width="20.42578125" style="115" bestFit="1" customWidth="1"/>
    <col min="2058" max="2304" width="9.140625" style="115"/>
    <col min="2305" max="2305" width="25.5703125" style="115" customWidth="1"/>
    <col min="2306" max="2306" width="9.140625" style="115"/>
    <col min="2307" max="2307" width="27.42578125" style="115" customWidth="1"/>
    <col min="2308" max="2308" width="20.42578125" style="115" bestFit="1" customWidth="1"/>
    <col min="2309" max="2311" width="9.140625" style="115"/>
    <col min="2312" max="2312" width="35.85546875" style="115" bestFit="1" customWidth="1"/>
    <col min="2313" max="2313" width="20.42578125" style="115" bestFit="1" customWidth="1"/>
    <col min="2314" max="2560" width="9.140625" style="115"/>
    <col min="2561" max="2561" width="25.5703125" style="115" customWidth="1"/>
    <col min="2562" max="2562" width="9.140625" style="115"/>
    <col min="2563" max="2563" width="27.42578125" style="115" customWidth="1"/>
    <col min="2564" max="2564" width="20.42578125" style="115" bestFit="1" customWidth="1"/>
    <col min="2565" max="2567" width="9.140625" style="115"/>
    <col min="2568" max="2568" width="35.85546875" style="115" bestFit="1" customWidth="1"/>
    <col min="2569" max="2569" width="20.42578125" style="115" bestFit="1" customWidth="1"/>
    <col min="2570" max="2816" width="9.140625" style="115"/>
    <col min="2817" max="2817" width="25.5703125" style="115" customWidth="1"/>
    <col min="2818" max="2818" width="9.140625" style="115"/>
    <col min="2819" max="2819" width="27.42578125" style="115" customWidth="1"/>
    <col min="2820" max="2820" width="20.42578125" style="115" bestFit="1" customWidth="1"/>
    <col min="2821" max="2823" width="9.140625" style="115"/>
    <col min="2824" max="2824" width="35.85546875" style="115" bestFit="1" customWidth="1"/>
    <col min="2825" max="2825" width="20.42578125" style="115" bestFit="1" customWidth="1"/>
    <col min="2826" max="3072" width="9.140625" style="115"/>
    <col min="3073" max="3073" width="25.5703125" style="115" customWidth="1"/>
    <col min="3074" max="3074" width="9.140625" style="115"/>
    <col min="3075" max="3075" width="27.42578125" style="115" customWidth="1"/>
    <col min="3076" max="3076" width="20.42578125" style="115" bestFit="1" customWidth="1"/>
    <col min="3077" max="3079" width="9.140625" style="115"/>
    <col min="3080" max="3080" width="35.85546875" style="115" bestFit="1" customWidth="1"/>
    <col min="3081" max="3081" width="20.42578125" style="115" bestFit="1" customWidth="1"/>
    <col min="3082" max="3328" width="9.140625" style="115"/>
    <col min="3329" max="3329" width="25.5703125" style="115" customWidth="1"/>
    <col min="3330" max="3330" width="9.140625" style="115"/>
    <col min="3331" max="3331" width="27.42578125" style="115" customWidth="1"/>
    <col min="3332" max="3332" width="20.42578125" style="115" bestFit="1" customWidth="1"/>
    <col min="3333" max="3335" width="9.140625" style="115"/>
    <col min="3336" max="3336" width="35.85546875" style="115" bestFit="1" customWidth="1"/>
    <col min="3337" max="3337" width="20.42578125" style="115" bestFit="1" customWidth="1"/>
    <col min="3338" max="3584" width="9.140625" style="115"/>
    <col min="3585" max="3585" width="25.5703125" style="115" customWidth="1"/>
    <col min="3586" max="3586" width="9.140625" style="115"/>
    <col min="3587" max="3587" width="27.42578125" style="115" customWidth="1"/>
    <col min="3588" max="3588" width="20.42578125" style="115" bestFit="1" customWidth="1"/>
    <col min="3589" max="3591" width="9.140625" style="115"/>
    <col min="3592" max="3592" width="35.85546875" style="115" bestFit="1" customWidth="1"/>
    <col min="3593" max="3593" width="20.42578125" style="115" bestFit="1" customWidth="1"/>
    <col min="3594" max="3840" width="9.140625" style="115"/>
    <col min="3841" max="3841" width="25.5703125" style="115" customWidth="1"/>
    <col min="3842" max="3842" width="9.140625" style="115"/>
    <col min="3843" max="3843" width="27.42578125" style="115" customWidth="1"/>
    <col min="3844" max="3844" width="20.42578125" style="115" bestFit="1" customWidth="1"/>
    <col min="3845" max="3847" width="9.140625" style="115"/>
    <col min="3848" max="3848" width="35.85546875" style="115" bestFit="1" customWidth="1"/>
    <col min="3849" max="3849" width="20.42578125" style="115" bestFit="1" customWidth="1"/>
    <col min="3850" max="4096" width="9.140625" style="115"/>
    <col min="4097" max="4097" width="25.5703125" style="115" customWidth="1"/>
    <col min="4098" max="4098" width="9.140625" style="115"/>
    <col min="4099" max="4099" width="27.42578125" style="115" customWidth="1"/>
    <col min="4100" max="4100" width="20.42578125" style="115" bestFit="1" customWidth="1"/>
    <col min="4101" max="4103" width="9.140625" style="115"/>
    <col min="4104" max="4104" width="35.85546875" style="115" bestFit="1" customWidth="1"/>
    <col min="4105" max="4105" width="20.42578125" style="115" bestFit="1" customWidth="1"/>
    <col min="4106" max="4352" width="9.140625" style="115"/>
    <col min="4353" max="4353" width="25.5703125" style="115" customWidth="1"/>
    <col min="4354" max="4354" width="9.140625" style="115"/>
    <col min="4355" max="4355" width="27.42578125" style="115" customWidth="1"/>
    <col min="4356" max="4356" width="20.42578125" style="115" bestFit="1" customWidth="1"/>
    <col min="4357" max="4359" width="9.140625" style="115"/>
    <col min="4360" max="4360" width="35.85546875" style="115" bestFit="1" customWidth="1"/>
    <col min="4361" max="4361" width="20.42578125" style="115" bestFit="1" customWidth="1"/>
    <col min="4362" max="4608" width="9.140625" style="115"/>
    <col min="4609" max="4609" width="25.5703125" style="115" customWidth="1"/>
    <col min="4610" max="4610" width="9.140625" style="115"/>
    <col min="4611" max="4611" width="27.42578125" style="115" customWidth="1"/>
    <col min="4612" max="4612" width="20.42578125" style="115" bestFit="1" customWidth="1"/>
    <col min="4613" max="4615" width="9.140625" style="115"/>
    <col min="4616" max="4616" width="35.85546875" style="115" bestFit="1" customWidth="1"/>
    <col min="4617" max="4617" width="20.42578125" style="115" bestFit="1" customWidth="1"/>
    <col min="4618" max="4864" width="9.140625" style="115"/>
    <col min="4865" max="4865" width="25.5703125" style="115" customWidth="1"/>
    <col min="4866" max="4866" width="9.140625" style="115"/>
    <col min="4867" max="4867" width="27.42578125" style="115" customWidth="1"/>
    <col min="4868" max="4868" width="20.42578125" style="115" bestFit="1" customWidth="1"/>
    <col min="4869" max="4871" width="9.140625" style="115"/>
    <col min="4872" max="4872" width="35.85546875" style="115" bestFit="1" customWidth="1"/>
    <col min="4873" max="4873" width="20.42578125" style="115" bestFit="1" customWidth="1"/>
    <col min="4874" max="5120" width="9.140625" style="115"/>
    <col min="5121" max="5121" width="25.5703125" style="115" customWidth="1"/>
    <col min="5122" max="5122" width="9.140625" style="115"/>
    <col min="5123" max="5123" width="27.42578125" style="115" customWidth="1"/>
    <col min="5124" max="5124" width="20.42578125" style="115" bestFit="1" customWidth="1"/>
    <col min="5125" max="5127" width="9.140625" style="115"/>
    <col min="5128" max="5128" width="35.85546875" style="115" bestFit="1" customWidth="1"/>
    <col min="5129" max="5129" width="20.42578125" style="115" bestFit="1" customWidth="1"/>
    <col min="5130" max="5376" width="9.140625" style="115"/>
    <col min="5377" max="5377" width="25.5703125" style="115" customWidth="1"/>
    <col min="5378" max="5378" width="9.140625" style="115"/>
    <col min="5379" max="5379" width="27.42578125" style="115" customWidth="1"/>
    <col min="5380" max="5380" width="20.42578125" style="115" bestFit="1" customWidth="1"/>
    <col min="5381" max="5383" width="9.140625" style="115"/>
    <col min="5384" max="5384" width="35.85546875" style="115" bestFit="1" customWidth="1"/>
    <col min="5385" max="5385" width="20.42578125" style="115" bestFit="1" customWidth="1"/>
    <col min="5386" max="5632" width="9.140625" style="115"/>
    <col min="5633" max="5633" width="25.5703125" style="115" customWidth="1"/>
    <col min="5634" max="5634" width="9.140625" style="115"/>
    <col min="5635" max="5635" width="27.42578125" style="115" customWidth="1"/>
    <col min="5636" max="5636" width="20.42578125" style="115" bestFit="1" customWidth="1"/>
    <col min="5637" max="5639" width="9.140625" style="115"/>
    <col min="5640" max="5640" width="35.85546875" style="115" bestFit="1" customWidth="1"/>
    <col min="5641" max="5641" width="20.42578125" style="115" bestFit="1" customWidth="1"/>
    <col min="5642" max="5888" width="9.140625" style="115"/>
    <col min="5889" max="5889" width="25.5703125" style="115" customWidth="1"/>
    <col min="5890" max="5890" width="9.140625" style="115"/>
    <col min="5891" max="5891" width="27.42578125" style="115" customWidth="1"/>
    <col min="5892" max="5892" width="20.42578125" style="115" bestFit="1" customWidth="1"/>
    <col min="5893" max="5895" width="9.140625" style="115"/>
    <col min="5896" max="5896" width="35.85546875" style="115" bestFit="1" customWidth="1"/>
    <col min="5897" max="5897" width="20.42578125" style="115" bestFit="1" customWidth="1"/>
    <col min="5898" max="6144" width="9.140625" style="115"/>
    <col min="6145" max="6145" width="25.5703125" style="115" customWidth="1"/>
    <col min="6146" max="6146" width="9.140625" style="115"/>
    <col min="6147" max="6147" width="27.42578125" style="115" customWidth="1"/>
    <col min="6148" max="6148" width="20.42578125" style="115" bestFit="1" customWidth="1"/>
    <col min="6149" max="6151" width="9.140625" style="115"/>
    <col min="6152" max="6152" width="35.85546875" style="115" bestFit="1" customWidth="1"/>
    <col min="6153" max="6153" width="20.42578125" style="115" bestFit="1" customWidth="1"/>
    <col min="6154" max="6400" width="9.140625" style="115"/>
    <col min="6401" max="6401" width="25.5703125" style="115" customWidth="1"/>
    <col min="6402" max="6402" width="9.140625" style="115"/>
    <col min="6403" max="6403" width="27.42578125" style="115" customWidth="1"/>
    <col min="6404" max="6404" width="20.42578125" style="115" bestFit="1" customWidth="1"/>
    <col min="6405" max="6407" width="9.140625" style="115"/>
    <col min="6408" max="6408" width="35.85546875" style="115" bestFit="1" customWidth="1"/>
    <col min="6409" max="6409" width="20.42578125" style="115" bestFit="1" customWidth="1"/>
    <col min="6410" max="6656" width="9.140625" style="115"/>
    <col min="6657" max="6657" width="25.5703125" style="115" customWidth="1"/>
    <col min="6658" max="6658" width="9.140625" style="115"/>
    <col min="6659" max="6659" width="27.42578125" style="115" customWidth="1"/>
    <col min="6660" max="6660" width="20.42578125" style="115" bestFit="1" customWidth="1"/>
    <col min="6661" max="6663" width="9.140625" style="115"/>
    <col min="6664" max="6664" width="35.85546875" style="115" bestFit="1" customWidth="1"/>
    <col min="6665" max="6665" width="20.42578125" style="115" bestFit="1" customWidth="1"/>
    <col min="6666" max="6912" width="9.140625" style="115"/>
    <col min="6913" max="6913" width="25.5703125" style="115" customWidth="1"/>
    <col min="6914" max="6914" width="9.140625" style="115"/>
    <col min="6915" max="6915" width="27.42578125" style="115" customWidth="1"/>
    <col min="6916" max="6916" width="20.42578125" style="115" bestFit="1" customWidth="1"/>
    <col min="6917" max="6919" width="9.140625" style="115"/>
    <col min="6920" max="6920" width="35.85546875" style="115" bestFit="1" customWidth="1"/>
    <col min="6921" max="6921" width="20.42578125" style="115" bestFit="1" customWidth="1"/>
    <col min="6922" max="7168" width="9.140625" style="115"/>
    <col min="7169" max="7169" width="25.5703125" style="115" customWidth="1"/>
    <col min="7170" max="7170" width="9.140625" style="115"/>
    <col min="7171" max="7171" width="27.42578125" style="115" customWidth="1"/>
    <col min="7172" max="7172" width="20.42578125" style="115" bestFit="1" customWidth="1"/>
    <col min="7173" max="7175" width="9.140625" style="115"/>
    <col min="7176" max="7176" width="35.85546875" style="115" bestFit="1" customWidth="1"/>
    <col min="7177" max="7177" width="20.42578125" style="115" bestFit="1" customWidth="1"/>
    <col min="7178" max="7424" width="9.140625" style="115"/>
    <col min="7425" max="7425" width="25.5703125" style="115" customWidth="1"/>
    <col min="7426" max="7426" width="9.140625" style="115"/>
    <col min="7427" max="7427" width="27.42578125" style="115" customWidth="1"/>
    <col min="7428" max="7428" width="20.42578125" style="115" bestFit="1" customWidth="1"/>
    <col min="7429" max="7431" width="9.140625" style="115"/>
    <col min="7432" max="7432" width="35.85546875" style="115" bestFit="1" customWidth="1"/>
    <col min="7433" max="7433" width="20.42578125" style="115" bestFit="1" customWidth="1"/>
    <col min="7434" max="7680" width="9.140625" style="115"/>
    <col min="7681" max="7681" width="25.5703125" style="115" customWidth="1"/>
    <col min="7682" max="7682" width="9.140625" style="115"/>
    <col min="7683" max="7683" width="27.42578125" style="115" customWidth="1"/>
    <col min="7684" max="7684" width="20.42578125" style="115" bestFit="1" customWidth="1"/>
    <col min="7685" max="7687" width="9.140625" style="115"/>
    <col min="7688" max="7688" width="35.85546875" style="115" bestFit="1" customWidth="1"/>
    <col min="7689" max="7689" width="20.42578125" style="115" bestFit="1" customWidth="1"/>
    <col min="7690" max="7936" width="9.140625" style="115"/>
    <col min="7937" max="7937" width="25.5703125" style="115" customWidth="1"/>
    <col min="7938" max="7938" width="9.140625" style="115"/>
    <col min="7939" max="7939" width="27.42578125" style="115" customWidth="1"/>
    <col min="7940" max="7940" width="20.42578125" style="115" bestFit="1" customWidth="1"/>
    <col min="7941" max="7943" width="9.140625" style="115"/>
    <col min="7944" max="7944" width="35.85546875" style="115" bestFit="1" customWidth="1"/>
    <col min="7945" max="7945" width="20.42578125" style="115" bestFit="1" customWidth="1"/>
    <col min="7946" max="8192" width="9.140625" style="115"/>
    <col min="8193" max="8193" width="25.5703125" style="115" customWidth="1"/>
    <col min="8194" max="8194" width="9.140625" style="115"/>
    <col min="8195" max="8195" width="27.42578125" style="115" customWidth="1"/>
    <col min="8196" max="8196" width="20.42578125" style="115" bestFit="1" customWidth="1"/>
    <col min="8197" max="8199" width="9.140625" style="115"/>
    <col min="8200" max="8200" width="35.85546875" style="115" bestFit="1" customWidth="1"/>
    <col min="8201" max="8201" width="20.42578125" style="115" bestFit="1" customWidth="1"/>
    <col min="8202" max="8448" width="9.140625" style="115"/>
    <col min="8449" max="8449" width="25.5703125" style="115" customWidth="1"/>
    <col min="8450" max="8450" width="9.140625" style="115"/>
    <col min="8451" max="8451" width="27.42578125" style="115" customWidth="1"/>
    <col min="8452" max="8452" width="20.42578125" style="115" bestFit="1" customWidth="1"/>
    <col min="8453" max="8455" width="9.140625" style="115"/>
    <col min="8456" max="8456" width="35.85546875" style="115" bestFit="1" customWidth="1"/>
    <col min="8457" max="8457" width="20.42578125" style="115" bestFit="1" customWidth="1"/>
    <col min="8458" max="8704" width="9.140625" style="115"/>
    <col min="8705" max="8705" width="25.5703125" style="115" customWidth="1"/>
    <col min="8706" max="8706" width="9.140625" style="115"/>
    <col min="8707" max="8707" width="27.42578125" style="115" customWidth="1"/>
    <col min="8708" max="8708" width="20.42578125" style="115" bestFit="1" customWidth="1"/>
    <col min="8709" max="8711" width="9.140625" style="115"/>
    <col min="8712" max="8712" width="35.85546875" style="115" bestFit="1" customWidth="1"/>
    <col min="8713" max="8713" width="20.42578125" style="115" bestFit="1" customWidth="1"/>
    <col min="8714" max="8960" width="9.140625" style="115"/>
    <col min="8961" max="8961" width="25.5703125" style="115" customWidth="1"/>
    <col min="8962" max="8962" width="9.140625" style="115"/>
    <col min="8963" max="8963" width="27.42578125" style="115" customWidth="1"/>
    <col min="8964" max="8964" width="20.42578125" style="115" bestFit="1" customWidth="1"/>
    <col min="8965" max="8967" width="9.140625" style="115"/>
    <col min="8968" max="8968" width="35.85546875" style="115" bestFit="1" customWidth="1"/>
    <col min="8969" max="8969" width="20.42578125" style="115" bestFit="1" customWidth="1"/>
    <col min="8970" max="9216" width="9.140625" style="115"/>
    <col min="9217" max="9217" width="25.5703125" style="115" customWidth="1"/>
    <col min="9218" max="9218" width="9.140625" style="115"/>
    <col min="9219" max="9219" width="27.42578125" style="115" customWidth="1"/>
    <col min="9220" max="9220" width="20.42578125" style="115" bestFit="1" customWidth="1"/>
    <col min="9221" max="9223" width="9.140625" style="115"/>
    <col min="9224" max="9224" width="35.85546875" style="115" bestFit="1" customWidth="1"/>
    <col min="9225" max="9225" width="20.42578125" style="115" bestFit="1" customWidth="1"/>
    <col min="9226" max="9472" width="9.140625" style="115"/>
    <col min="9473" max="9473" width="25.5703125" style="115" customWidth="1"/>
    <col min="9474" max="9474" width="9.140625" style="115"/>
    <col min="9475" max="9475" width="27.42578125" style="115" customWidth="1"/>
    <col min="9476" max="9476" width="20.42578125" style="115" bestFit="1" customWidth="1"/>
    <col min="9477" max="9479" width="9.140625" style="115"/>
    <col min="9480" max="9480" width="35.85546875" style="115" bestFit="1" customWidth="1"/>
    <col min="9481" max="9481" width="20.42578125" style="115" bestFit="1" customWidth="1"/>
    <col min="9482" max="9728" width="9.140625" style="115"/>
    <col min="9729" max="9729" width="25.5703125" style="115" customWidth="1"/>
    <col min="9730" max="9730" width="9.140625" style="115"/>
    <col min="9731" max="9731" width="27.42578125" style="115" customWidth="1"/>
    <col min="9732" max="9732" width="20.42578125" style="115" bestFit="1" customWidth="1"/>
    <col min="9733" max="9735" width="9.140625" style="115"/>
    <col min="9736" max="9736" width="35.85546875" style="115" bestFit="1" customWidth="1"/>
    <col min="9737" max="9737" width="20.42578125" style="115" bestFit="1" customWidth="1"/>
    <col min="9738" max="9984" width="9.140625" style="115"/>
    <col min="9985" max="9985" width="25.5703125" style="115" customWidth="1"/>
    <col min="9986" max="9986" width="9.140625" style="115"/>
    <col min="9987" max="9987" width="27.42578125" style="115" customWidth="1"/>
    <col min="9988" max="9988" width="20.42578125" style="115" bestFit="1" customWidth="1"/>
    <col min="9989" max="9991" width="9.140625" style="115"/>
    <col min="9992" max="9992" width="35.85546875" style="115" bestFit="1" customWidth="1"/>
    <col min="9993" max="9993" width="20.42578125" style="115" bestFit="1" customWidth="1"/>
    <col min="9994" max="10240" width="9.140625" style="115"/>
    <col min="10241" max="10241" width="25.5703125" style="115" customWidth="1"/>
    <col min="10242" max="10242" width="9.140625" style="115"/>
    <col min="10243" max="10243" width="27.42578125" style="115" customWidth="1"/>
    <col min="10244" max="10244" width="20.42578125" style="115" bestFit="1" customWidth="1"/>
    <col min="10245" max="10247" width="9.140625" style="115"/>
    <col min="10248" max="10248" width="35.85546875" style="115" bestFit="1" customWidth="1"/>
    <col min="10249" max="10249" width="20.42578125" style="115" bestFit="1" customWidth="1"/>
    <col min="10250" max="10496" width="9.140625" style="115"/>
    <col min="10497" max="10497" width="25.5703125" style="115" customWidth="1"/>
    <col min="10498" max="10498" width="9.140625" style="115"/>
    <col min="10499" max="10499" width="27.42578125" style="115" customWidth="1"/>
    <col min="10500" max="10500" width="20.42578125" style="115" bestFit="1" customWidth="1"/>
    <col min="10501" max="10503" width="9.140625" style="115"/>
    <col min="10504" max="10504" width="35.85546875" style="115" bestFit="1" customWidth="1"/>
    <col min="10505" max="10505" width="20.42578125" style="115" bestFit="1" customWidth="1"/>
    <col min="10506" max="10752" width="9.140625" style="115"/>
    <col min="10753" max="10753" width="25.5703125" style="115" customWidth="1"/>
    <col min="10754" max="10754" width="9.140625" style="115"/>
    <col min="10755" max="10755" width="27.42578125" style="115" customWidth="1"/>
    <col min="10756" max="10756" width="20.42578125" style="115" bestFit="1" customWidth="1"/>
    <col min="10757" max="10759" width="9.140625" style="115"/>
    <col min="10760" max="10760" width="35.85546875" style="115" bestFit="1" customWidth="1"/>
    <col min="10761" max="10761" width="20.42578125" style="115" bestFit="1" customWidth="1"/>
    <col min="10762" max="11008" width="9.140625" style="115"/>
    <col min="11009" max="11009" width="25.5703125" style="115" customWidth="1"/>
    <col min="11010" max="11010" width="9.140625" style="115"/>
    <col min="11011" max="11011" width="27.42578125" style="115" customWidth="1"/>
    <col min="11012" max="11012" width="20.42578125" style="115" bestFit="1" customWidth="1"/>
    <col min="11013" max="11015" width="9.140625" style="115"/>
    <col min="11016" max="11016" width="35.85546875" style="115" bestFit="1" customWidth="1"/>
    <col min="11017" max="11017" width="20.42578125" style="115" bestFit="1" customWidth="1"/>
    <col min="11018" max="11264" width="9.140625" style="115"/>
    <col min="11265" max="11265" width="25.5703125" style="115" customWidth="1"/>
    <col min="11266" max="11266" width="9.140625" style="115"/>
    <col min="11267" max="11267" width="27.42578125" style="115" customWidth="1"/>
    <col min="11268" max="11268" width="20.42578125" style="115" bestFit="1" customWidth="1"/>
    <col min="11269" max="11271" width="9.140625" style="115"/>
    <col min="11272" max="11272" width="35.85546875" style="115" bestFit="1" customWidth="1"/>
    <col min="11273" max="11273" width="20.42578125" style="115" bestFit="1" customWidth="1"/>
    <col min="11274" max="11520" width="9.140625" style="115"/>
    <col min="11521" max="11521" width="25.5703125" style="115" customWidth="1"/>
    <col min="11522" max="11522" width="9.140625" style="115"/>
    <col min="11523" max="11523" width="27.42578125" style="115" customWidth="1"/>
    <col min="11524" max="11524" width="20.42578125" style="115" bestFit="1" customWidth="1"/>
    <col min="11525" max="11527" width="9.140625" style="115"/>
    <col min="11528" max="11528" width="35.85546875" style="115" bestFit="1" customWidth="1"/>
    <col min="11529" max="11529" width="20.42578125" style="115" bestFit="1" customWidth="1"/>
    <col min="11530" max="11776" width="9.140625" style="115"/>
    <col min="11777" max="11777" width="25.5703125" style="115" customWidth="1"/>
    <col min="11778" max="11778" width="9.140625" style="115"/>
    <col min="11779" max="11779" width="27.42578125" style="115" customWidth="1"/>
    <col min="11780" max="11780" width="20.42578125" style="115" bestFit="1" customWidth="1"/>
    <col min="11781" max="11783" width="9.140625" style="115"/>
    <col min="11784" max="11784" width="35.85546875" style="115" bestFit="1" customWidth="1"/>
    <col min="11785" max="11785" width="20.42578125" style="115" bestFit="1" customWidth="1"/>
    <col min="11786" max="12032" width="9.140625" style="115"/>
    <col min="12033" max="12033" width="25.5703125" style="115" customWidth="1"/>
    <col min="12034" max="12034" width="9.140625" style="115"/>
    <col min="12035" max="12035" width="27.42578125" style="115" customWidth="1"/>
    <col min="12036" max="12036" width="20.42578125" style="115" bestFit="1" customWidth="1"/>
    <col min="12037" max="12039" width="9.140625" style="115"/>
    <col min="12040" max="12040" width="35.85546875" style="115" bestFit="1" customWidth="1"/>
    <col min="12041" max="12041" width="20.42578125" style="115" bestFit="1" customWidth="1"/>
    <col min="12042" max="12288" width="9.140625" style="115"/>
    <col min="12289" max="12289" width="25.5703125" style="115" customWidth="1"/>
    <col min="12290" max="12290" width="9.140625" style="115"/>
    <col min="12291" max="12291" width="27.42578125" style="115" customWidth="1"/>
    <col min="12292" max="12292" width="20.42578125" style="115" bestFit="1" customWidth="1"/>
    <col min="12293" max="12295" width="9.140625" style="115"/>
    <col min="12296" max="12296" width="35.85546875" style="115" bestFit="1" customWidth="1"/>
    <col min="12297" max="12297" width="20.42578125" style="115" bestFit="1" customWidth="1"/>
    <col min="12298" max="12544" width="9.140625" style="115"/>
    <col min="12545" max="12545" width="25.5703125" style="115" customWidth="1"/>
    <col min="12546" max="12546" width="9.140625" style="115"/>
    <col min="12547" max="12547" width="27.42578125" style="115" customWidth="1"/>
    <col min="12548" max="12548" width="20.42578125" style="115" bestFit="1" customWidth="1"/>
    <col min="12549" max="12551" width="9.140625" style="115"/>
    <col min="12552" max="12552" width="35.85546875" style="115" bestFit="1" customWidth="1"/>
    <col min="12553" max="12553" width="20.42578125" style="115" bestFit="1" customWidth="1"/>
    <col min="12554" max="12800" width="9.140625" style="115"/>
    <col min="12801" max="12801" width="25.5703125" style="115" customWidth="1"/>
    <col min="12802" max="12802" width="9.140625" style="115"/>
    <col min="12803" max="12803" width="27.42578125" style="115" customWidth="1"/>
    <col min="12804" max="12804" width="20.42578125" style="115" bestFit="1" customWidth="1"/>
    <col min="12805" max="12807" width="9.140625" style="115"/>
    <col min="12808" max="12808" width="35.85546875" style="115" bestFit="1" customWidth="1"/>
    <col min="12809" max="12809" width="20.42578125" style="115" bestFit="1" customWidth="1"/>
    <col min="12810" max="13056" width="9.140625" style="115"/>
    <col min="13057" max="13057" width="25.5703125" style="115" customWidth="1"/>
    <col min="13058" max="13058" width="9.140625" style="115"/>
    <col min="13059" max="13059" width="27.42578125" style="115" customWidth="1"/>
    <col min="13060" max="13060" width="20.42578125" style="115" bestFit="1" customWidth="1"/>
    <col min="13061" max="13063" width="9.140625" style="115"/>
    <col min="13064" max="13064" width="35.85546875" style="115" bestFit="1" customWidth="1"/>
    <col min="13065" max="13065" width="20.42578125" style="115" bestFit="1" customWidth="1"/>
    <col min="13066" max="13312" width="9.140625" style="115"/>
    <col min="13313" max="13313" width="25.5703125" style="115" customWidth="1"/>
    <col min="13314" max="13314" width="9.140625" style="115"/>
    <col min="13315" max="13315" width="27.42578125" style="115" customWidth="1"/>
    <col min="13316" max="13316" width="20.42578125" style="115" bestFit="1" customWidth="1"/>
    <col min="13317" max="13319" width="9.140625" style="115"/>
    <col min="13320" max="13320" width="35.85546875" style="115" bestFit="1" customWidth="1"/>
    <col min="13321" max="13321" width="20.42578125" style="115" bestFit="1" customWidth="1"/>
    <col min="13322" max="13568" width="9.140625" style="115"/>
    <col min="13569" max="13569" width="25.5703125" style="115" customWidth="1"/>
    <col min="13570" max="13570" width="9.140625" style="115"/>
    <col min="13571" max="13571" width="27.42578125" style="115" customWidth="1"/>
    <col min="13572" max="13572" width="20.42578125" style="115" bestFit="1" customWidth="1"/>
    <col min="13573" max="13575" width="9.140625" style="115"/>
    <col min="13576" max="13576" width="35.85546875" style="115" bestFit="1" customWidth="1"/>
    <col min="13577" max="13577" width="20.42578125" style="115" bestFit="1" customWidth="1"/>
    <col min="13578" max="13824" width="9.140625" style="115"/>
    <col min="13825" max="13825" width="25.5703125" style="115" customWidth="1"/>
    <col min="13826" max="13826" width="9.140625" style="115"/>
    <col min="13827" max="13827" width="27.42578125" style="115" customWidth="1"/>
    <col min="13828" max="13828" width="20.42578125" style="115" bestFit="1" customWidth="1"/>
    <col min="13829" max="13831" width="9.140625" style="115"/>
    <col min="13832" max="13832" width="35.85546875" style="115" bestFit="1" customWidth="1"/>
    <col min="13833" max="13833" width="20.42578125" style="115" bestFit="1" customWidth="1"/>
    <col min="13834" max="14080" width="9.140625" style="115"/>
    <col min="14081" max="14081" width="25.5703125" style="115" customWidth="1"/>
    <col min="14082" max="14082" width="9.140625" style="115"/>
    <col min="14083" max="14083" width="27.42578125" style="115" customWidth="1"/>
    <col min="14084" max="14084" width="20.42578125" style="115" bestFit="1" customWidth="1"/>
    <col min="14085" max="14087" width="9.140625" style="115"/>
    <col min="14088" max="14088" width="35.85546875" style="115" bestFit="1" customWidth="1"/>
    <col min="14089" max="14089" width="20.42578125" style="115" bestFit="1" customWidth="1"/>
    <col min="14090" max="14336" width="9.140625" style="115"/>
    <col min="14337" max="14337" width="25.5703125" style="115" customWidth="1"/>
    <col min="14338" max="14338" width="9.140625" style="115"/>
    <col min="14339" max="14339" width="27.42578125" style="115" customWidth="1"/>
    <col min="14340" max="14340" width="20.42578125" style="115" bestFit="1" customWidth="1"/>
    <col min="14341" max="14343" width="9.140625" style="115"/>
    <col min="14344" max="14344" width="35.85546875" style="115" bestFit="1" customWidth="1"/>
    <col min="14345" max="14345" width="20.42578125" style="115" bestFit="1" customWidth="1"/>
    <col min="14346" max="14592" width="9.140625" style="115"/>
    <col min="14593" max="14593" width="25.5703125" style="115" customWidth="1"/>
    <col min="14594" max="14594" width="9.140625" style="115"/>
    <col min="14595" max="14595" width="27.42578125" style="115" customWidth="1"/>
    <col min="14596" max="14596" width="20.42578125" style="115" bestFit="1" customWidth="1"/>
    <col min="14597" max="14599" width="9.140625" style="115"/>
    <col min="14600" max="14600" width="35.85546875" style="115" bestFit="1" customWidth="1"/>
    <col min="14601" max="14601" width="20.42578125" style="115" bestFit="1" customWidth="1"/>
    <col min="14602" max="14848" width="9.140625" style="115"/>
    <col min="14849" max="14849" width="25.5703125" style="115" customWidth="1"/>
    <col min="14850" max="14850" width="9.140625" style="115"/>
    <col min="14851" max="14851" width="27.42578125" style="115" customWidth="1"/>
    <col min="14852" max="14852" width="20.42578125" style="115" bestFit="1" customWidth="1"/>
    <col min="14853" max="14855" width="9.140625" style="115"/>
    <col min="14856" max="14856" width="35.85546875" style="115" bestFit="1" customWidth="1"/>
    <col min="14857" max="14857" width="20.42578125" style="115" bestFit="1" customWidth="1"/>
    <col min="14858" max="15104" width="9.140625" style="115"/>
    <col min="15105" max="15105" width="25.5703125" style="115" customWidth="1"/>
    <col min="15106" max="15106" width="9.140625" style="115"/>
    <col min="15107" max="15107" width="27.42578125" style="115" customWidth="1"/>
    <col min="15108" max="15108" width="20.42578125" style="115" bestFit="1" customWidth="1"/>
    <col min="15109" max="15111" width="9.140625" style="115"/>
    <col min="15112" max="15112" width="35.85546875" style="115" bestFit="1" customWidth="1"/>
    <col min="15113" max="15113" width="20.42578125" style="115" bestFit="1" customWidth="1"/>
    <col min="15114" max="15360" width="9.140625" style="115"/>
    <col min="15361" max="15361" width="25.5703125" style="115" customWidth="1"/>
    <col min="15362" max="15362" width="9.140625" style="115"/>
    <col min="15363" max="15363" width="27.42578125" style="115" customWidth="1"/>
    <col min="15364" max="15364" width="20.42578125" style="115" bestFit="1" customWidth="1"/>
    <col min="15365" max="15367" width="9.140625" style="115"/>
    <col min="15368" max="15368" width="35.85546875" style="115" bestFit="1" customWidth="1"/>
    <col min="15369" max="15369" width="20.42578125" style="115" bestFit="1" customWidth="1"/>
    <col min="15370" max="15616" width="9.140625" style="115"/>
    <col min="15617" max="15617" width="25.5703125" style="115" customWidth="1"/>
    <col min="15618" max="15618" width="9.140625" style="115"/>
    <col min="15619" max="15619" width="27.42578125" style="115" customWidth="1"/>
    <col min="15620" max="15620" width="20.42578125" style="115" bestFit="1" customWidth="1"/>
    <col min="15621" max="15623" width="9.140625" style="115"/>
    <col min="15624" max="15624" width="35.85546875" style="115" bestFit="1" customWidth="1"/>
    <col min="15625" max="15625" width="20.42578125" style="115" bestFit="1" customWidth="1"/>
    <col min="15626" max="15872" width="9.140625" style="115"/>
    <col min="15873" max="15873" width="25.5703125" style="115" customWidth="1"/>
    <col min="15874" max="15874" width="9.140625" style="115"/>
    <col min="15875" max="15875" width="27.42578125" style="115" customWidth="1"/>
    <col min="15876" max="15876" width="20.42578125" style="115" bestFit="1" customWidth="1"/>
    <col min="15877" max="15879" width="9.140625" style="115"/>
    <col min="15880" max="15880" width="35.85546875" style="115" bestFit="1" customWidth="1"/>
    <col min="15881" max="15881" width="20.42578125" style="115" bestFit="1" customWidth="1"/>
    <col min="15882" max="16128" width="9.140625" style="115"/>
    <col min="16129" max="16129" width="25.5703125" style="115" customWidth="1"/>
    <col min="16130" max="16130" width="9.140625" style="115"/>
    <col min="16131" max="16131" width="27.42578125" style="115" customWidth="1"/>
    <col min="16132" max="16132" width="20.42578125" style="115" bestFit="1" customWidth="1"/>
    <col min="16133" max="16135" width="9.140625" style="115"/>
    <col min="16136" max="16136" width="35.85546875" style="115" bestFit="1" customWidth="1"/>
    <col min="16137" max="16137" width="20.42578125" style="115" bestFit="1" customWidth="1"/>
    <col min="16138" max="16384" width="9.140625" style="115"/>
  </cols>
  <sheetData>
    <row r="1" spans="1:9" ht="25.5" customHeight="1" x14ac:dyDescent="0.25">
      <c r="A1" s="117" t="s">
        <v>233</v>
      </c>
      <c r="B1" s="118"/>
      <c r="D1" s="118"/>
    </row>
    <row r="2" spans="1:9" x14ac:dyDescent="0.25">
      <c r="A2" s="118"/>
      <c r="B2" s="118"/>
      <c r="C2" s="118"/>
      <c r="D2" s="118"/>
    </row>
    <row r="3" spans="1:9" ht="45" x14ac:dyDescent="0.25">
      <c r="A3" s="118"/>
      <c r="B3" s="118"/>
      <c r="C3" s="117" t="s">
        <v>834</v>
      </c>
      <c r="D3" s="119" t="s">
        <v>835</v>
      </c>
    </row>
    <row r="4" spans="1:9" x14ac:dyDescent="0.25">
      <c r="A4" s="140" t="s">
        <v>106</v>
      </c>
      <c r="B4" s="140"/>
      <c r="C4" s="17">
        <v>15</v>
      </c>
      <c r="D4" s="21" t="s">
        <v>353</v>
      </c>
      <c r="H4" s="32"/>
      <c r="I4" s="21"/>
    </row>
    <row r="5" spans="1:9" x14ac:dyDescent="0.25">
      <c r="A5" s="140" t="s">
        <v>232</v>
      </c>
      <c r="B5" s="140"/>
      <c r="C5" s="17">
        <v>238</v>
      </c>
      <c r="D5" s="21" t="s">
        <v>361</v>
      </c>
      <c r="H5" s="32"/>
      <c r="I5" s="21"/>
    </row>
    <row r="6" spans="1:9" x14ac:dyDescent="0.25">
      <c r="A6" s="140" t="s">
        <v>231</v>
      </c>
      <c r="B6" s="140"/>
      <c r="C6" s="17">
        <v>469</v>
      </c>
      <c r="D6" s="21" t="s">
        <v>361</v>
      </c>
      <c r="H6" s="32"/>
      <c r="I6" s="21"/>
    </row>
    <row r="7" spans="1:9" x14ac:dyDescent="0.25">
      <c r="A7" s="140" t="s">
        <v>230</v>
      </c>
      <c r="B7" s="140"/>
      <c r="C7" s="17">
        <v>2156</v>
      </c>
      <c r="D7" s="120" t="s">
        <v>366</v>
      </c>
      <c r="H7" s="32"/>
      <c r="I7" s="21"/>
    </row>
    <row r="8" spans="1:9" x14ac:dyDescent="0.25">
      <c r="A8" s="140" t="s">
        <v>62</v>
      </c>
      <c r="B8" s="140"/>
      <c r="C8" s="17">
        <v>281</v>
      </c>
      <c r="D8" s="21" t="s">
        <v>356</v>
      </c>
      <c r="H8" s="32"/>
    </row>
    <row r="9" spans="1:9" x14ac:dyDescent="0.25">
      <c r="A9" s="140"/>
      <c r="B9" s="140"/>
      <c r="C9" s="17">
        <v>710</v>
      </c>
      <c r="D9" s="115" t="s">
        <v>836</v>
      </c>
      <c r="H9" s="32"/>
    </row>
    <row r="10" spans="1:9" x14ac:dyDescent="0.25">
      <c r="A10" s="140" t="s">
        <v>228</v>
      </c>
      <c r="B10" s="140"/>
      <c r="C10" s="17">
        <v>921</v>
      </c>
      <c r="D10" s="21" t="s">
        <v>361</v>
      </c>
      <c r="H10" s="32"/>
    </row>
    <row r="11" spans="1:9" x14ac:dyDescent="0.25">
      <c r="A11" s="140" t="s">
        <v>61</v>
      </c>
      <c r="B11" s="140"/>
      <c r="C11" s="17">
        <v>105</v>
      </c>
      <c r="D11" s="21" t="s">
        <v>356</v>
      </c>
      <c r="H11" s="32"/>
    </row>
    <row r="12" spans="1:9" x14ac:dyDescent="0.25">
      <c r="A12" s="140" t="s">
        <v>227</v>
      </c>
      <c r="B12" s="140"/>
      <c r="C12" s="17">
        <v>2371</v>
      </c>
      <c r="D12" s="21" t="s">
        <v>366</v>
      </c>
      <c r="H12" s="32" t="s">
        <v>837</v>
      </c>
      <c r="I12" s="83"/>
    </row>
    <row r="13" spans="1:9" x14ac:dyDescent="0.25">
      <c r="A13" s="140" t="s">
        <v>226</v>
      </c>
      <c r="B13" s="140"/>
      <c r="C13" s="17">
        <v>3160</v>
      </c>
      <c r="D13" s="21" t="s">
        <v>366</v>
      </c>
      <c r="H13" s="32"/>
      <c r="I13" s="83"/>
    </row>
    <row r="14" spans="1:9" x14ac:dyDescent="0.25">
      <c r="A14" s="140" t="s">
        <v>224</v>
      </c>
      <c r="B14" s="140"/>
      <c r="C14" s="17">
        <v>132</v>
      </c>
      <c r="D14" s="21" t="s">
        <v>361</v>
      </c>
      <c r="H14" s="121" t="s">
        <v>617</v>
      </c>
      <c r="I14" s="83">
        <v>26</v>
      </c>
    </row>
    <row r="15" spans="1:9" x14ac:dyDescent="0.25">
      <c r="A15" s="140" t="s">
        <v>223</v>
      </c>
      <c r="B15" s="140"/>
      <c r="C15" s="17">
        <v>735</v>
      </c>
      <c r="D15" s="21" t="s">
        <v>366</v>
      </c>
      <c r="H15" s="121" t="s">
        <v>616</v>
      </c>
      <c r="I15" s="83">
        <v>120</v>
      </c>
    </row>
    <row r="16" spans="1:9" x14ac:dyDescent="0.25">
      <c r="A16" s="140" t="s">
        <v>222</v>
      </c>
      <c r="B16" s="140"/>
      <c r="C16" s="17">
        <v>1069</v>
      </c>
      <c r="D16" s="21" t="s">
        <v>366</v>
      </c>
      <c r="H16" s="121" t="s">
        <v>823</v>
      </c>
      <c r="I16" s="83">
        <v>64</v>
      </c>
    </row>
    <row r="17" spans="1:9" x14ac:dyDescent="0.25">
      <c r="A17" s="140" t="s">
        <v>105</v>
      </c>
      <c r="B17" s="140"/>
      <c r="C17" s="17">
        <v>15</v>
      </c>
      <c r="D17" s="21" t="s">
        <v>353</v>
      </c>
      <c r="H17" s="121" t="s">
        <v>615</v>
      </c>
      <c r="I17" s="83">
        <v>516</v>
      </c>
    </row>
    <row r="18" spans="1:9" x14ac:dyDescent="0.25">
      <c r="A18" s="140" t="s">
        <v>221</v>
      </c>
      <c r="B18" s="140"/>
      <c r="C18" s="17">
        <v>936</v>
      </c>
      <c r="D18" s="21" t="s">
        <v>366</v>
      </c>
      <c r="H18" s="121" t="s">
        <v>639</v>
      </c>
      <c r="I18" s="83">
        <v>2162</v>
      </c>
    </row>
    <row r="19" spans="1:9" x14ac:dyDescent="0.25">
      <c r="A19" s="140" t="s">
        <v>220</v>
      </c>
      <c r="B19" s="140"/>
      <c r="C19" s="17">
        <v>515</v>
      </c>
      <c r="D19" s="21" t="s">
        <v>361</v>
      </c>
      <c r="H19" s="32"/>
    </row>
    <row r="20" spans="1:9" x14ac:dyDescent="0.25">
      <c r="A20" s="140" t="s">
        <v>219</v>
      </c>
      <c r="B20" s="140"/>
      <c r="C20" s="17">
        <v>2896</v>
      </c>
      <c r="D20" s="21" t="s">
        <v>366</v>
      </c>
      <c r="H20" s="32"/>
    </row>
    <row r="21" spans="1:9" x14ac:dyDescent="0.25">
      <c r="A21" s="140" t="s">
        <v>218</v>
      </c>
      <c r="B21" s="140"/>
      <c r="C21" s="17">
        <v>78</v>
      </c>
      <c r="D21" s="21" t="s">
        <v>356</v>
      </c>
      <c r="H21" s="32"/>
    </row>
    <row r="22" spans="1:9" x14ac:dyDescent="0.25">
      <c r="A22" s="140" t="s">
        <v>104</v>
      </c>
      <c r="B22" s="140"/>
      <c r="C22" s="17">
        <v>36</v>
      </c>
      <c r="D22" s="21" t="s">
        <v>353</v>
      </c>
      <c r="H22" s="32"/>
    </row>
    <row r="23" spans="1:9" x14ac:dyDescent="0.25">
      <c r="A23" s="140" t="s">
        <v>59</v>
      </c>
      <c r="B23" s="140"/>
      <c r="C23" s="17">
        <v>224</v>
      </c>
      <c r="D23" s="21" t="s">
        <v>356</v>
      </c>
      <c r="H23" s="32"/>
    </row>
    <row r="24" spans="1:9" x14ac:dyDescent="0.25">
      <c r="A24" s="140" t="s">
        <v>217</v>
      </c>
      <c r="B24" s="140"/>
      <c r="C24" s="17">
        <v>135</v>
      </c>
      <c r="D24" s="21" t="s">
        <v>356</v>
      </c>
      <c r="H24" s="32"/>
    </row>
    <row r="25" spans="1:9" x14ac:dyDescent="0.25">
      <c r="A25" s="140" t="s">
        <v>216</v>
      </c>
      <c r="B25" s="140"/>
      <c r="C25" s="17">
        <v>570</v>
      </c>
      <c r="D25" s="21" t="s">
        <v>361</v>
      </c>
      <c r="H25" s="32"/>
    </row>
    <row r="26" spans="1:9" x14ac:dyDescent="0.25">
      <c r="A26" s="140" t="s">
        <v>215</v>
      </c>
      <c r="B26" s="140"/>
      <c r="C26" s="17">
        <v>1072</v>
      </c>
      <c r="D26" s="21" t="s">
        <v>361</v>
      </c>
      <c r="H26" s="32"/>
    </row>
    <row r="27" spans="1:9" x14ac:dyDescent="0.25">
      <c r="A27" s="140" t="s">
        <v>213</v>
      </c>
      <c r="B27" s="140"/>
      <c r="C27" s="17">
        <v>431</v>
      </c>
      <c r="D27" s="21" t="s">
        <v>361</v>
      </c>
      <c r="H27" s="32"/>
    </row>
    <row r="28" spans="1:9" x14ac:dyDescent="0.25">
      <c r="A28" s="140" t="s">
        <v>212</v>
      </c>
      <c r="B28" s="140"/>
      <c r="C28" s="17">
        <v>1302</v>
      </c>
      <c r="D28" s="21" t="s">
        <v>366</v>
      </c>
      <c r="H28" s="32"/>
    </row>
    <row r="29" spans="1:9" x14ac:dyDescent="0.25">
      <c r="A29" s="140" t="s">
        <v>211</v>
      </c>
      <c r="B29" s="140"/>
      <c r="C29" s="17">
        <v>582</v>
      </c>
      <c r="D29" s="21" t="s">
        <v>361</v>
      </c>
      <c r="H29" s="32"/>
    </row>
    <row r="30" spans="1:9" x14ac:dyDescent="0.25">
      <c r="A30" s="140" t="s">
        <v>103</v>
      </c>
      <c r="B30" s="140"/>
      <c r="C30" s="17">
        <v>54</v>
      </c>
      <c r="D30" s="21" t="s">
        <v>353</v>
      </c>
      <c r="H30" s="32"/>
    </row>
    <row r="31" spans="1:9" x14ac:dyDescent="0.25">
      <c r="A31" s="140" t="s">
        <v>102</v>
      </c>
      <c r="B31" s="140"/>
      <c r="C31" s="17">
        <v>22</v>
      </c>
      <c r="D31" s="21" t="s">
        <v>353</v>
      </c>
      <c r="H31" s="32"/>
    </row>
    <row r="32" spans="1:9" x14ac:dyDescent="0.25">
      <c r="A32" s="140" t="s">
        <v>101</v>
      </c>
      <c r="B32" s="140"/>
      <c r="C32" s="17">
        <v>32</v>
      </c>
      <c r="D32" s="21" t="s">
        <v>353</v>
      </c>
      <c r="H32" s="32"/>
    </row>
    <row r="33" spans="1:9" x14ac:dyDescent="0.25">
      <c r="A33" s="140" t="s">
        <v>57</v>
      </c>
      <c r="B33" s="140"/>
      <c r="C33" s="17">
        <v>34</v>
      </c>
      <c r="D33" s="21" t="s">
        <v>356</v>
      </c>
      <c r="H33" s="32"/>
    </row>
    <row r="34" spans="1:9" x14ac:dyDescent="0.25">
      <c r="A34" s="140" t="s">
        <v>210</v>
      </c>
      <c r="B34" s="140"/>
      <c r="C34" s="17">
        <v>2883</v>
      </c>
      <c r="D34" s="21" t="s">
        <v>366</v>
      </c>
      <c r="H34" s="32"/>
    </row>
    <row r="35" spans="1:9" x14ac:dyDescent="0.25">
      <c r="A35" s="140" t="s">
        <v>56</v>
      </c>
      <c r="B35" s="140"/>
      <c r="C35" s="17">
        <v>129</v>
      </c>
      <c r="D35" s="21" t="s">
        <v>356</v>
      </c>
      <c r="H35" s="32"/>
    </row>
    <row r="36" spans="1:9" x14ac:dyDescent="0.25">
      <c r="A36" s="140" t="s">
        <v>100</v>
      </c>
      <c r="B36" s="140"/>
      <c r="C36" s="17">
        <v>13</v>
      </c>
      <c r="D36" s="21" t="s">
        <v>353</v>
      </c>
      <c r="H36" s="32"/>
    </row>
    <row r="37" spans="1:9" x14ac:dyDescent="0.25">
      <c r="A37" s="140" t="s">
        <v>99</v>
      </c>
      <c r="B37" s="140"/>
      <c r="C37" s="17">
        <v>52</v>
      </c>
      <c r="D37" s="21" t="s">
        <v>353</v>
      </c>
      <c r="H37" s="32"/>
    </row>
    <row r="38" spans="1:9" x14ac:dyDescent="0.25">
      <c r="A38" s="140" t="s">
        <v>209</v>
      </c>
      <c r="B38" s="140"/>
      <c r="C38" s="17">
        <v>549</v>
      </c>
      <c r="D38" s="21" t="s">
        <v>361</v>
      </c>
      <c r="H38" s="32"/>
      <c r="I38" s="21"/>
    </row>
    <row r="39" spans="1:9" x14ac:dyDescent="0.25">
      <c r="A39" s="140" t="s">
        <v>55</v>
      </c>
      <c r="B39" s="140"/>
      <c r="C39" s="17">
        <v>155</v>
      </c>
      <c r="D39" s="21" t="s">
        <v>823</v>
      </c>
      <c r="H39" s="32"/>
      <c r="I39" s="21"/>
    </row>
    <row r="40" spans="1:9" x14ac:dyDescent="0.25">
      <c r="A40" s="140" t="s">
        <v>208</v>
      </c>
      <c r="B40" s="140"/>
      <c r="C40" s="17">
        <v>479</v>
      </c>
      <c r="D40" s="21" t="s">
        <v>361</v>
      </c>
      <c r="H40" s="32"/>
    </row>
    <row r="41" spans="1:9" x14ac:dyDescent="0.25">
      <c r="A41" s="140" t="s">
        <v>98</v>
      </c>
      <c r="B41" s="140"/>
      <c r="C41" s="17">
        <v>27</v>
      </c>
      <c r="D41" s="21" t="s">
        <v>353</v>
      </c>
      <c r="H41" s="32"/>
    </row>
    <row r="42" spans="1:9" x14ac:dyDescent="0.25">
      <c r="A42" s="140" t="s">
        <v>207</v>
      </c>
      <c r="B42" s="140"/>
      <c r="C42" s="17">
        <v>68</v>
      </c>
      <c r="D42" s="21" t="s">
        <v>356</v>
      </c>
      <c r="H42" s="32"/>
    </row>
    <row r="43" spans="1:9" x14ac:dyDescent="0.25">
      <c r="A43" s="140"/>
      <c r="B43" s="140"/>
      <c r="D43" s="115" t="s">
        <v>836</v>
      </c>
      <c r="H43" s="32"/>
    </row>
    <row r="44" spans="1:9" x14ac:dyDescent="0.25">
      <c r="A44" s="140" t="s">
        <v>205</v>
      </c>
      <c r="B44" s="140"/>
      <c r="C44" s="17">
        <v>785</v>
      </c>
      <c r="D44" s="21" t="s">
        <v>361</v>
      </c>
      <c r="H44" s="32"/>
    </row>
    <row r="45" spans="1:9" x14ac:dyDescent="0.25">
      <c r="A45" s="140" t="s">
        <v>203</v>
      </c>
      <c r="B45" s="140"/>
      <c r="C45" s="17">
        <v>1318</v>
      </c>
      <c r="D45" s="21" t="s">
        <v>366</v>
      </c>
      <c r="H45" s="32"/>
    </row>
    <row r="46" spans="1:9" x14ac:dyDescent="0.25">
      <c r="A46" s="140" t="s">
        <v>202</v>
      </c>
      <c r="B46" s="140"/>
      <c r="C46" s="17">
        <v>468</v>
      </c>
      <c r="D46" s="21" t="s">
        <v>361</v>
      </c>
      <c r="H46" s="32"/>
    </row>
    <row r="47" spans="1:9" x14ac:dyDescent="0.25">
      <c r="A47" s="140" t="s">
        <v>201</v>
      </c>
      <c r="B47" s="140"/>
      <c r="C47" s="17">
        <v>752</v>
      </c>
      <c r="D47" s="21" t="s">
        <v>366</v>
      </c>
      <c r="H47" s="32"/>
    </row>
    <row r="48" spans="1:9" x14ac:dyDescent="0.25">
      <c r="A48" s="140" t="s">
        <v>200</v>
      </c>
      <c r="B48" s="140"/>
      <c r="C48" s="17">
        <v>1544</v>
      </c>
      <c r="D48" s="21" t="s">
        <v>366</v>
      </c>
      <c r="H48" s="32"/>
    </row>
    <row r="49" spans="1:9" x14ac:dyDescent="0.25">
      <c r="A49" s="140" t="s">
        <v>53</v>
      </c>
      <c r="B49" s="140"/>
      <c r="C49" s="17">
        <v>16</v>
      </c>
      <c r="D49" s="21" t="s">
        <v>356</v>
      </c>
      <c r="H49" s="32"/>
      <c r="I49" s="21"/>
    </row>
    <row r="50" spans="1:9" x14ac:dyDescent="0.25">
      <c r="A50" s="140" t="s">
        <v>198</v>
      </c>
      <c r="B50" s="140"/>
      <c r="C50" s="17">
        <v>2</v>
      </c>
      <c r="D50" s="21" t="s">
        <v>353</v>
      </c>
      <c r="H50" s="32"/>
    </row>
    <row r="51" spans="1:9" x14ac:dyDescent="0.25">
      <c r="A51" s="140" t="s">
        <v>197</v>
      </c>
      <c r="B51" s="140"/>
      <c r="C51" s="17">
        <v>3298</v>
      </c>
      <c r="D51" s="21" t="s">
        <v>366</v>
      </c>
      <c r="H51" s="32"/>
    </row>
    <row r="52" spans="1:9" x14ac:dyDescent="0.25">
      <c r="A52" s="140" t="s">
        <v>52</v>
      </c>
      <c r="B52" s="140"/>
      <c r="C52" s="17">
        <v>124</v>
      </c>
      <c r="D52" s="21" t="s">
        <v>356</v>
      </c>
      <c r="H52" s="32"/>
    </row>
    <row r="53" spans="1:9" x14ac:dyDescent="0.25">
      <c r="A53" s="140"/>
      <c r="B53" s="140"/>
      <c r="D53" s="115" t="s">
        <v>836</v>
      </c>
      <c r="H53" s="32"/>
    </row>
    <row r="54" spans="1:9" x14ac:dyDescent="0.25">
      <c r="A54" s="140" t="s">
        <v>195</v>
      </c>
      <c r="B54" s="140"/>
      <c r="C54" s="17">
        <v>205</v>
      </c>
      <c r="D54" s="21" t="s">
        <v>361</v>
      </c>
      <c r="H54" s="32"/>
    </row>
    <row r="55" spans="1:9" x14ac:dyDescent="0.25">
      <c r="A55" s="140" t="s">
        <v>51</v>
      </c>
      <c r="B55" s="140"/>
      <c r="C55" s="17">
        <v>244</v>
      </c>
      <c r="D55" s="21" t="s">
        <v>361</v>
      </c>
      <c r="H55" s="32"/>
    </row>
    <row r="56" spans="1:9" x14ac:dyDescent="0.25">
      <c r="A56" s="140" t="s">
        <v>194</v>
      </c>
      <c r="B56" s="140"/>
      <c r="C56" s="17">
        <v>116</v>
      </c>
      <c r="D56" s="21" t="s">
        <v>356</v>
      </c>
      <c r="H56" s="32"/>
    </row>
    <row r="57" spans="1:9" x14ac:dyDescent="0.25">
      <c r="A57" s="140" t="s">
        <v>49</v>
      </c>
      <c r="B57" s="140"/>
      <c r="C57" s="17">
        <v>258</v>
      </c>
      <c r="D57" s="21" t="s">
        <v>356</v>
      </c>
      <c r="H57" s="32"/>
    </row>
    <row r="58" spans="1:9" x14ac:dyDescent="0.25">
      <c r="A58" s="140" t="s">
        <v>193</v>
      </c>
      <c r="B58" s="140"/>
      <c r="C58" s="17">
        <v>1201</v>
      </c>
      <c r="D58" s="21" t="s">
        <v>366</v>
      </c>
      <c r="H58" s="32"/>
    </row>
    <row r="59" spans="1:9" x14ac:dyDescent="0.25">
      <c r="A59" s="140" t="s">
        <v>96</v>
      </c>
      <c r="B59" s="140"/>
      <c r="C59" s="17">
        <v>6</v>
      </c>
      <c r="D59" s="21" t="s">
        <v>353</v>
      </c>
      <c r="H59" s="32"/>
    </row>
    <row r="60" spans="1:9" x14ac:dyDescent="0.25">
      <c r="A60" s="140" t="s">
        <v>192</v>
      </c>
      <c r="B60" s="140"/>
      <c r="C60" s="17">
        <v>1036</v>
      </c>
      <c r="D60" s="21" t="s">
        <v>366</v>
      </c>
      <c r="H60" s="32"/>
    </row>
    <row r="61" spans="1:9" x14ac:dyDescent="0.25">
      <c r="A61" s="140" t="s">
        <v>95</v>
      </c>
      <c r="B61" s="140"/>
      <c r="C61" s="17">
        <v>19</v>
      </c>
      <c r="D61" s="21" t="s">
        <v>353</v>
      </c>
      <c r="H61" s="32"/>
    </row>
    <row r="62" spans="1:9" x14ac:dyDescent="0.25">
      <c r="A62" s="140" t="s">
        <v>191</v>
      </c>
      <c r="B62" s="140"/>
      <c r="C62" s="17">
        <v>121</v>
      </c>
      <c r="D62" s="21" t="s">
        <v>361</v>
      </c>
      <c r="H62" s="32"/>
    </row>
    <row r="63" spans="1:9" x14ac:dyDescent="0.25">
      <c r="A63" s="140" t="s">
        <v>190</v>
      </c>
      <c r="B63" s="140"/>
      <c r="C63" s="17">
        <v>2419</v>
      </c>
      <c r="D63" s="21" t="s">
        <v>366</v>
      </c>
      <c r="H63" s="32"/>
    </row>
    <row r="64" spans="1:9" x14ac:dyDescent="0.25">
      <c r="A64" s="140" t="s">
        <v>189</v>
      </c>
      <c r="B64" s="140"/>
      <c r="C64" s="17">
        <v>3013</v>
      </c>
      <c r="D64" s="21" t="s">
        <v>366</v>
      </c>
      <c r="H64" s="32"/>
    </row>
    <row r="65" spans="1:8" x14ac:dyDescent="0.25">
      <c r="A65" s="140" t="s">
        <v>188</v>
      </c>
      <c r="B65" s="140"/>
      <c r="C65" s="17">
        <v>246</v>
      </c>
      <c r="D65" s="21" t="s">
        <v>361</v>
      </c>
      <c r="H65" s="32"/>
    </row>
    <row r="66" spans="1:8" x14ac:dyDescent="0.25">
      <c r="A66" s="140" t="s">
        <v>187</v>
      </c>
      <c r="B66" s="140"/>
      <c r="C66" s="17">
        <v>42</v>
      </c>
      <c r="D66" s="21" t="s">
        <v>353</v>
      </c>
      <c r="H66" s="32"/>
    </row>
    <row r="67" spans="1:8" x14ac:dyDescent="0.25">
      <c r="A67" s="140" t="s">
        <v>48</v>
      </c>
      <c r="B67" s="140"/>
      <c r="C67" s="17">
        <v>143</v>
      </c>
      <c r="D67" s="21" t="s">
        <v>356</v>
      </c>
      <c r="H67" s="32"/>
    </row>
    <row r="68" spans="1:8" x14ac:dyDescent="0.25">
      <c r="A68" s="140" t="s">
        <v>186</v>
      </c>
      <c r="B68" s="140"/>
      <c r="C68" s="17">
        <v>3124</v>
      </c>
      <c r="D68" s="21" t="s">
        <v>366</v>
      </c>
      <c r="H68" s="32"/>
    </row>
    <row r="69" spans="1:8" x14ac:dyDescent="0.25">
      <c r="A69" s="140" t="s">
        <v>93</v>
      </c>
      <c r="B69" s="140"/>
      <c r="C69" s="17">
        <v>65</v>
      </c>
      <c r="D69" s="21" t="s">
        <v>356</v>
      </c>
      <c r="H69" s="32"/>
    </row>
    <row r="70" spans="1:8" x14ac:dyDescent="0.25">
      <c r="A70" s="140" t="s">
        <v>185</v>
      </c>
      <c r="B70" s="140"/>
      <c r="C70" s="17">
        <v>1933</v>
      </c>
      <c r="D70" s="21" t="s">
        <v>366</v>
      </c>
      <c r="H70" s="32"/>
    </row>
    <row r="71" spans="1:8" x14ac:dyDescent="0.25">
      <c r="A71" s="140" t="s">
        <v>184</v>
      </c>
      <c r="B71" s="140"/>
      <c r="C71" s="17">
        <v>316</v>
      </c>
      <c r="D71" s="21" t="s">
        <v>361</v>
      </c>
      <c r="H71" s="32"/>
    </row>
    <row r="72" spans="1:8" x14ac:dyDescent="0.25">
      <c r="A72" s="140" t="s">
        <v>47</v>
      </c>
      <c r="B72" s="140"/>
      <c r="C72" s="17">
        <v>124</v>
      </c>
      <c r="D72" s="21" t="s">
        <v>356</v>
      </c>
      <c r="H72" s="32"/>
    </row>
    <row r="73" spans="1:8" x14ac:dyDescent="0.25">
      <c r="A73" s="140" t="s">
        <v>92</v>
      </c>
      <c r="B73" s="140"/>
      <c r="C73" s="17">
        <v>9</v>
      </c>
      <c r="D73" s="21" t="s">
        <v>353</v>
      </c>
      <c r="H73" s="32"/>
    </row>
    <row r="74" spans="1:8" x14ac:dyDescent="0.25">
      <c r="A74" s="140" t="s">
        <v>183</v>
      </c>
      <c r="B74" s="140"/>
      <c r="C74" s="17">
        <v>9</v>
      </c>
      <c r="D74" s="21" t="s">
        <v>353</v>
      </c>
      <c r="H74" s="32"/>
    </row>
    <row r="75" spans="1:8" x14ac:dyDescent="0.25">
      <c r="A75" s="140" t="s">
        <v>46</v>
      </c>
      <c r="B75" s="140"/>
      <c r="C75" s="17">
        <v>231</v>
      </c>
      <c r="D75" s="21" t="s">
        <v>356</v>
      </c>
      <c r="H75" s="32"/>
    </row>
    <row r="76" spans="1:8" x14ac:dyDescent="0.25">
      <c r="A76" s="140" t="s">
        <v>90</v>
      </c>
      <c r="B76" s="140"/>
      <c r="C76" s="17">
        <v>16</v>
      </c>
      <c r="D76" s="21" t="s">
        <v>353</v>
      </c>
      <c r="H76" s="32"/>
    </row>
    <row r="77" spans="1:8" x14ac:dyDescent="0.25">
      <c r="A77" s="140" t="s">
        <v>45</v>
      </c>
      <c r="B77" s="140"/>
      <c r="C77" s="17">
        <v>131</v>
      </c>
      <c r="D77" s="21" t="s">
        <v>356</v>
      </c>
      <c r="H77" s="32"/>
    </row>
    <row r="78" spans="1:8" x14ac:dyDescent="0.25">
      <c r="A78" s="140" t="s">
        <v>182</v>
      </c>
      <c r="B78" s="140"/>
      <c r="C78" s="17">
        <v>1003</v>
      </c>
      <c r="D78" s="21" t="s">
        <v>366</v>
      </c>
      <c r="H78" s="32"/>
    </row>
    <row r="79" spans="1:8" x14ac:dyDescent="0.25">
      <c r="A79" s="140" t="s">
        <v>181</v>
      </c>
      <c r="B79" s="140"/>
      <c r="C79" s="17">
        <v>2546</v>
      </c>
      <c r="D79" s="21" t="s">
        <v>366</v>
      </c>
      <c r="H79" s="32"/>
    </row>
    <row r="80" spans="1:8" x14ac:dyDescent="0.25">
      <c r="A80" s="140" t="s">
        <v>44</v>
      </c>
      <c r="B80" s="140"/>
      <c r="C80" s="17">
        <v>43</v>
      </c>
      <c r="D80" s="21" t="s">
        <v>823</v>
      </c>
      <c r="H80" s="32"/>
    </row>
    <row r="81" spans="1:8" x14ac:dyDescent="0.25">
      <c r="A81" s="140" t="s">
        <v>43</v>
      </c>
      <c r="B81" s="140"/>
      <c r="C81" s="17">
        <v>51</v>
      </c>
      <c r="D81" s="21" t="s">
        <v>823</v>
      </c>
      <c r="H81" s="32"/>
    </row>
    <row r="82" spans="1:8" x14ac:dyDescent="0.25">
      <c r="A82" s="140" t="s">
        <v>180</v>
      </c>
      <c r="B82" s="140"/>
      <c r="C82" s="17">
        <v>267</v>
      </c>
      <c r="D82" s="21" t="s">
        <v>361</v>
      </c>
      <c r="H82" s="32"/>
    </row>
    <row r="83" spans="1:8" x14ac:dyDescent="0.25">
      <c r="A83" s="140" t="s">
        <v>42</v>
      </c>
      <c r="B83" s="140"/>
      <c r="C83" s="17">
        <v>121</v>
      </c>
      <c r="D83" s="21" t="s">
        <v>356</v>
      </c>
      <c r="H83" s="32"/>
    </row>
    <row r="84" spans="1:8" x14ac:dyDescent="0.25">
      <c r="A84" s="140" t="s">
        <v>179</v>
      </c>
      <c r="B84" s="140"/>
      <c r="C84" s="17">
        <v>3187</v>
      </c>
      <c r="D84" s="21" t="s">
        <v>366</v>
      </c>
      <c r="H84" s="32"/>
    </row>
    <row r="85" spans="1:8" x14ac:dyDescent="0.25">
      <c r="A85" s="140" t="s">
        <v>178</v>
      </c>
      <c r="B85" s="140"/>
      <c r="C85" s="17">
        <v>1225</v>
      </c>
      <c r="D85" s="21" t="s">
        <v>366</v>
      </c>
      <c r="H85" s="32"/>
    </row>
    <row r="86" spans="1:8" x14ac:dyDescent="0.25">
      <c r="A86" s="140" t="s">
        <v>177</v>
      </c>
      <c r="B86" s="140"/>
      <c r="C86" s="17">
        <v>2341</v>
      </c>
      <c r="D86" s="21" t="s">
        <v>366</v>
      </c>
      <c r="H86" s="32"/>
    </row>
    <row r="87" spans="1:8" x14ac:dyDescent="0.25">
      <c r="A87" s="140" t="s">
        <v>176</v>
      </c>
      <c r="B87" s="140"/>
      <c r="C87" s="17">
        <v>214</v>
      </c>
      <c r="D87" s="21" t="s">
        <v>361</v>
      </c>
      <c r="H87" s="32"/>
    </row>
    <row r="88" spans="1:8" x14ac:dyDescent="0.25">
      <c r="A88" s="140" t="s">
        <v>175</v>
      </c>
      <c r="B88" s="140"/>
      <c r="C88" s="17">
        <v>2170</v>
      </c>
      <c r="D88" s="21" t="s">
        <v>366</v>
      </c>
      <c r="H88" s="32"/>
    </row>
    <row r="89" spans="1:8" x14ac:dyDescent="0.25">
      <c r="A89" s="140" t="s">
        <v>41</v>
      </c>
      <c r="B89" s="140"/>
      <c r="C89" s="17">
        <v>322</v>
      </c>
      <c r="D89" s="21" t="s">
        <v>361</v>
      </c>
      <c r="H89" s="32"/>
    </row>
    <row r="90" spans="1:8" x14ac:dyDescent="0.25">
      <c r="A90" s="140" t="s">
        <v>174</v>
      </c>
      <c r="B90" s="140"/>
      <c r="C90" s="17">
        <v>328</v>
      </c>
      <c r="D90" s="21" t="s">
        <v>361</v>
      </c>
      <c r="H90" s="32"/>
    </row>
    <row r="91" spans="1:8" x14ac:dyDescent="0.25">
      <c r="A91" s="140" t="s">
        <v>89</v>
      </c>
      <c r="B91" s="140"/>
      <c r="C91" s="17">
        <v>23</v>
      </c>
      <c r="D91" s="21" t="s">
        <v>353</v>
      </c>
      <c r="H91" s="32"/>
    </row>
    <row r="92" spans="1:8" x14ac:dyDescent="0.25">
      <c r="A92" s="140" t="s">
        <v>40</v>
      </c>
      <c r="B92" s="140"/>
      <c r="C92" s="17">
        <v>250</v>
      </c>
      <c r="D92" s="115" t="s">
        <v>836</v>
      </c>
      <c r="H92" s="32"/>
    </row>
    <row r="93" spans="1:8" x14ac:dyDescent="0.25">
      <c r="A93" s="140" t="s">
        <v>173</v>
      </c>
      <c r="B93" s="140"/>
      <c r="C93" s="17">
        <v>1257</v>
      </c>
      <c r="D93" s="21" t="s">
        <v>366</v>
      </c>
      <c r="H93" s="32"/>
    </row>
    <row r="94" spans="1:8" x14ac:dyDescent="0.25">
      <c r="A94" s="140" t="s">
        <v>172</v>
      </c>
      <c r="B94" s="140"/>
      <c r="C94" s="17">
        <v>77</v>
      </c>
      <c r="D94" s="21" t="s">
        <v>353</v>
      </c>
      <c r="H94" s="32"/>
    </row>
    <row r="95" spans="1:8" x14ac:dyDescent="0.25">
      <c r="A95" s="140" t="s">
        <v>171</v>
      </c>
      <c r="B95" s="140"/>
      <c r="C95" s="17">
        <v>16</v>
      </c>
      <c r="D95" s="21" t="s">
        <v>356</v>
      </c>
      <c r="H95" s="32"/>
    </row>
    <row r="96" spans="1:8" x14ac:dyDescent="0.25">
      <c r="A96" s="140" t="s">
        <v>170</v>
      </c>
      <c r="B96" s="140"/>
      <c r="C96" s="17">
        <v>602</v>
      </c>
      <c r="D96" s="21" t="s">
        <v>361</v>
      </c>
      <c r="H96" s="32"/>
    </row>
    <row r="97" spans="1:8" x14ac:dyDescent="0.25">
      <c r="A97" s="140" t="s">
        <v>169</v>
      </c>
      <c r="B97" s="140"/>
      <c r="C97" s="17">
        <v>519</v>
      </c>
      <c r="D97" s="21" t="s">
        <v>361</v>
      </c>
      <c r="H97" s="32"/>
    </row>
    <row r="98" spans="1:8" x14ac:dyDescent="0.25">
      <c r="A98" s="140" t="s">
        <v>38</v>
      </c>
      <c r="B98" s="140"/>
      <c r="C98" s="17">
        <v>91</v>
      </c>
      <c r="D98" s="21" t="s">
        <v>356</v>
      </c>
      <c r="H98" s="32"/>
    </row>
    <row r="99" spans="1:8" x14ac:dyDescent="0.25">
      <c r="A99" s="140" t="s">
        <v>85</v>
      </c>
      <c r="B99" s="140"/>
      <c r="C99" s="17">
        <v>21</v>
      </c>
      <c r="D99" s="21" t="s">
        <v>353</v>
      </c>
      <c r="H99" s="32"/>
    </row>
    <row r="100" spans="1:8" x14ac:dyDescent="0.25">
      <c r="A100" s="140" t="s">
        <v>168</v>
      </c>
      <c r="B100" s="140"/>
      <c r="C100" s="17">
        <v>469</v>
      </c>
      <c r="D100" s="21" t="s">
        <v>361</v>
      </c>
      <c r="H100" s="32"/>
    </row>
    <row r="101" spans="1:8" x14ac:dyDescent="0.25">
      <c r="A101" s="140" t="s">
        <v>167</v>
      </c>
      <c r="B101" s="140"/>
      <c r="C101" s="17">
        <v>749</v>
      </c>
      <c r="D101" s="21" t="s">
        <v>361</v>
      </c>
      <c r="H101" s="32"/>
    </row>
    <row r="102" spans="1:8" x14ac:dyDescent="0.25">
      <c r="A102" s="140" t="s">
        <v>166</v>
      </c>
      <c r="B102" s="140"/>
      <c r="C102" s="17">
        <v>4841</v>
      </c>
      <c r="D102" s="21" t="s">
        <v>366</v>
      </c>
      <c r="H102" s="32"/>
    </row>
    <row r="103" spans="1:8" x14ac:dyDescent="0.25">
      <c r="A103" s="140" t="s">
        <v>84</v>
      </c>
      <c r="B103" s="140"/>
      <c r="C103" s="17">
        <v>27</v>
      </c>
      <c r="D103" s="21" t="s">
        <v>353</v>
      </c>
      <c r="H103" s="32"/>
    </row>
    <row r="104" spans="1:8" x14ac:dyDescent="0.25">
      <c r="A104" s="140" t="s">
        <v>83</v>
      </c>
      <c r="B104" s="140"/>
      <c r="C104" s="17">
        <v>29</v>
      </c>
      <c r="D104" s="21" t="s">
        <v>353</v>
      </c>
      <c r="H104" s="32"/>
    </row>
    <row r="105" spans="1:8" x14ac:dyDescent="0.25">
      <c r="A105" s="140" t="s">
        <v>165</v>
      </c>
      <c r="B105" s="140"/>
      <c r="C105" s="17">
        <v>303</v>
      </c>
      <c r="D105" s="21" t="s">
        <v>361</v>
      </c>
      <c r="H105" s="32"/>
    </row>
    <row r="106" spans="1:8" x14ac:dyDescent="0.25">
      <c r="A106" s="140" t="s">
        <v>37</v>
      </c>
      <c r="B106" s="140"/>
      <c r="C106" s="17">
        <v>267</v>
      </c>
      <c r="D106" s="21" t="s">
        <v>361</v>
      </c>
      <c r="H106" s="32"/>
    </row>
    <row r="107" spans="1:8" x14ac:dyDescent="0.25">
      <c r="A107" s="140" t="s">
        <v>82</v>
      </c>
      <c r="B107" s="140"/>
      <c r="C107" s="17">
        <v>32</v>
      </c>
      <c r="D107" s="21" t="s">
        <v>353</v>
      </c>
      <c r="H107" s="32"/>
    </row>
    <row r="108" spans="1:8" x14ac:dyDescent="0.25">
      <c r="A108" s="140" t="s">
        <v>164</v>
      </c>
      <c r="B108" s="140"/>
      <c r="C108" s="17">
        <v>3214</v>
      </c>
      <c r="D108" s="21" t="s">
        <v>366</v>
      </c>
      <c r="H108" s="32"/>
    </row>
    <row r="109" spans="1:8" x14ac:dyDescent="0.25">
      <c r="A109" s="140"/>
      <c r="B109" s="140"/>
      <c r="D109" s="115" t="s">
        <v>836</v>
      </c>
      <c r="H109" s="32"/>
    </row>
    <row r="110" spans="1:8" x14ac:dyDescent="0.25">
      <c r="A110" s="140" t="s">
        <v>81</v>
      </c>
      <c r="B110" s="140"/>
      <c r="C110" s="17">
        <v>29</v>
      </c>
      <c r="D110" s="21" t="s">
        <v>356</v>
      </c>
      <c r="H110" s="32"/>
    </row>
    <row r="111" spans="1:8" x14ac:dyDescent="0.25">
      <c r="A111" s="140" t="s">
        <v>163</v>
      </c>
      <c r="B111" s="140"/>
      <c r="C111" s="17">
        <v>270</v>
      </c>
      <c r="D111" s="21" t="s">
        <v>361</v>
      </c>
      <c r="H111" s="32"/>
    </row>
    <row r="112" spans="1:8" x14ac:dyDescent="0.25">
      <c r="A112" s="140" t="s">
        <v>162</v>
      </c>
      <c r="B112" s="140"/>
      <c r="C112" s="17">
        <v>408</v>
      </c>
      <c r="D112" s="21" t="s">
        <v>361</v>
      </c>
      <c r="H112" s="32"/>
    </row>
    <row r="113" spans="1:8" x14ac:dyDescent="0.25">
      <c r="A113" s="140" t="s">
        <v>161</v>
      </c>
      <c r="B113" s="140"/>
      <c r="C113" s="17">
        <v>350</v>
      </c>
      <c r="D113" s="21" t="s">
        <v>356</v>
      </c>
      <c r="H113" s="32"/>
    </row>
    <row r="114" spans="1:8" x14ac:dyDescent="0.25">
      <c r="A114" s="140" t="s">
        <v>160</v>
      </c>
      <c r="B114" s="140"/>
      <c r="C114" s="17">
        <v>6617</v>
      </c>
      <c r="D114" s="120" t="s">
        <v>366</v>
      </c>
      <c r="H114" s="32"/>
    </row>
    <row r="115" spans="1:8" x14ac:dyDescent="0.25">
      <c r="A115" s="140" t="s">
        <v>33</v>
      </c>
      <c r="B115" s="140"/>
      <c r="C115" s="17">
        <v>142</v>
      </c>
      <c r="D115" s="21" t="s">
        <v>356</v>
      </c>
      <c r="H115" s="32"/>
    </row>
    <row r="116" spans="1:8" x14ac:dyDescent="0.25">
      <c r="A116" s="140" t="s">
        <v>159</v>
      </c>
      <c r="B116" s="140"/>
      <c r="C116" s="17">
        <v>893</v>
      </c>
      <c r="D116" s="21" t="s">
        <v>361</v>
      </c>
      <c r="H116" s="32"/>
    </row>
    <row r="117" spans="1:8" x14ac:dyDescent="0.25">
      <c r="A117" s="140" t="s">
        <v>32</v>
      </c>
      <c r="B117" s="140"/>
      <c r="C117" s="17">
        <v>86</v>
      </c>
      <c r="D117" s="21" t="s">
        <v>356</v>
      </c>
      <c r="H117" s="32"/>
    </row>
    <row r="118" spans="1:8" x14ac:dyDescent="0.25">
      <c r="A118" s="140" t="s">
        <v>80</v>
      </c>
      <c r="B118" s="140"/>
      <c r="C118" s="17">
        <v>37</v>
      </c>
      <c r="D118" s="21" t="s">
        <v>353</v>
      </c>
      <c r="H118" s="32"/>
    </row>
    <row r="119" spans="1:8" x14ac:dyDescent="0.25">
      <c r="A119" s="140" t="s">
        <v>79</v>
      </c>
      <c r="B119" s="140"/>
      <c r="C119" s="17">
        <v>2</v>
      </c>
      <c r="D119" s="21" t="s">
        <v>353</v>
      </c>
      <c r="H119" s="32"/>
    </row>
    <row r="120" spans="1:8" x14ac:dyDescent="0.25">
      <c r="A120" s="140" t="s">
        <v>158</v>
      </c>
      <c r="B120" s="140"/>
      <c r="C120" s="17">
        <v>256</v>
      </c>
      <c r="D120" s="21" t="s">
        <v>361</v>
      </c>
      <c r="H120" s="32"/>
    </row>
    <row r="121" spans="1:8" x14ac:dyDescent="0.25">
      <c r="A121" s="140"/>
      <c r="B121" s="140"/>
      <c r="D121" s="115" t="s">
        <v>836</v>
      </c>
      <c r="H121" s="32"/>
    </row>
    <row r="122" spans="1:8" x14ac:dyDescent="0.25">
      <c r="A122" s="140" t="s">
        <v>78</v>
      </c>
      <c r="B122" s="140"/>
      <c r="C122" s="17">
        <v>25</v>
      </c>
      <c r="D122" s="21" t="s">
        <v>353</v>
      </c>
      <c r="H122" s="32"/>
    </row>
    <row r="123" spans="1:8" x14ac:dyDescent="0.25">
      <c r="A123" s="140" t="s">
        <v>156</v>
      </c>
      <c r="B123" s="140"/>
      <c r="C123" s="17">
        <v>3390</v>
      </c>
      <c r="D123" s="21" t="s">
        <v>366</v>
      </c>
      <c r="H123" s="32"/>
    </row>
    <row r="124" spans="1:8" x14ac:dyDescent="0.25">
      <c r="A124" s="140" t="s">
        <v>155</v>
      </c>
      <c r="B124" s="140"/>
      <c r="C124" s="17">
        <v>2139</v>
      </c>
      <c r="D124" s="21" t="s">
        <v>366</v>
      </c>
      <c r="H124" s="32"/>
    </row>
    <row r="125" spans="1:8" x14ac:dyDescent="0.25">
      <c r="A125" s="140" t="s">
        <v>31</v>
      </c>
      <c r="B125" s="140"/>
      <c r="C125" s="17">
        <v>144</v>
      </c>
      <c r="D125" s="21" t="s">
        <v>356</v>
      </c>
      <c r="H125" s="32"/>
    </row>
    <row r="126" spans="1:8" x14ac:dyDescent="0.25">
      <c r="A126" s="140" t="s">
        <v>77</v>
      </c>
      <c r="B126" s="140"/>
      <c r="C126" s="17">
        <v>23</v>
      </c>
      <c r="D126" s="21" t="s">
        <v>353</v>
      </c>
      <c r="H126" s="32"/>
    </row>
    <row r="127" spans="1:8" x14ac:dyDescent="0.25">
      <c r="A127" s="140" t="s">
        <v>110</v>
      </c>
      <c r="B127" s="140"/>
      <c r="C127" s="17">
        <v>50</v>
      </c>
      <c r="D127" s="21" t="s">
        <v>823</v>
      </c>
      <c r="H127" s="32"/>
    </row>
    <row r="128" spans="1:8" x14ac:dyDescent="0.25">
      <c r="A128" s="140" t="s">
        <v>153</v>
      </c>
      <c r="B128" s="140"/>
      <c r="C128" s="17">
        <v>4237</v>
      </c>
      <c r="D128" s="21" t="s">
        <v>366</v>
      </c>
      <c r="H128" s="32"/>
    </row>
    <row r="129" spans="1:8" x14ac:dyDescent="0.25">
      <c r="A129" s="140" t="s">
        <v>152</v>
      </c>
      <c r="B129" s="140"/>
      <c r="C129" s="17">
        <v>620</v>
      </c>
      <c r="D129" s="21" t="s">
        <v>366</v>
      </c>
      <c r="H129" s="32"/>
    </row>
    <row r="130" spans="1:8" x14ac:dyDescent="0.25">
      <c r="A130" s="140" t="s">
        <v>151</v>
      </c>
      <c r="B130" s="140"/>
      <c r="C130" s="17">
        <v>21</v>
      </c>
      <c r="D130" s="21" t="s">
        <v>823</v>
      </c>
      <c r="H130" s="32"/>
    </row>
    <row r="131" spans="1:8" x14ac:dyDescent="0.25">
      <c r="A131" s="140" t="s">
        <v>149</v>
      </c>
      <c r="B131" s="140"/>
      <c r="C131" s="17">
        <v>774</v>
      </c>
      <c r="D131" s="21" t="s">
        <v>361</v>
      </c>
      <c r="H131" s="32"/>
    </row>
    <row r="132" spans="1:8" x14ac:dyDescent="0.25">
      <c r="A132" s="140" t="s">
        <v>109</v>
      </c>
      <c r="B132" s="140"/>
      <c r="C132" s="17">
        <v>56</v>
      </c>
      <c r="D132" s="21" t="s">
        <v>356</v>
      </c>
      <c r="H132" s="32"/>
    </row>
    <row r="133" spans="1:8" x14ac:dyDescent="0.25">
      <c r="A133" s="140" t="s">
        <v>27</v>
      </c>
      <c r="B133" s="140"/>
      <c r="C133" s="17">
        <v>131</v>
      </c>
      <c r="D133" s="21" t="s">
        <v>356</v>
      </c>
      <c r="H133" s="32"/>
    </row>
    <row r="134" spans="1:8" x14ac:dyDescent="0.25">
      <c r="A134" s="140" t="s">
        <v>148</v>
      </c>
      <c r="B134" s="140"/>
      <c r="C134" s="17">
        <v>234</v>
      </c>
      <c r="D134" s="21" t="s">
        <v>361</v>
      </c>
      <c r="H134" s="32"/>
    </row>
    <row r="135" spans="1:8" x14ac:dyDescent="0.25">
      <c r="A135" s="140" t="s">
        <v>26</v>
      </c>
      <c r="B135" s="140"/>
      <c r="C135" s="17">
        <v>47</v>
      </c>
      <c r="D135" s="21" t="s">
        <v>356</v>
      </c>
      <c r="H135" s="32"/>
    </row>
    <row r="136" spans="1:8" x14ac:dyDescent="0.25">
      <c r="A136" s="140" t="s">
        <v>147</v>
      </c>
      <c r="B136" s="140"/>
      <c r="C136" s="17">
        <v>926</v>
      </c>
      <c r="D136" s="21" t="s">
        <v>366</v>
      </c>
      <c r="H136" s="32"/>
    </row>
    <row r="137" spans="1:8" x14ac:dyDescent="0.25">
      <c r="A137" s="140" t="s">
        <v>146</v>
      </c>
      <c r="B137" s="140"/>
      <c r="C137" s="17">
        <v>1889</v>
      </c>
      <c r="D137" s="21" t="s">
        <v>366</v>
      </c>
      <c r="H137" s="32"/>
    </row>
    <row r="138" spans="1:8" x14ac:dyDescent="0.25">
      <c r="A138" s="140" t="s">
        <v>145</v>
      </c>
      <c r="B138" s="140"/>
      <c r="C138" s="17">
        <v>1658</v>
      </c>
      <c r="D138" s="21" t="s">
        <v>366</v>
      </c>
      <c r="H138" s="32"/>
    </row>
    <row r="139" spans="1:8" x14ac:dyDescent="0.25">
      <c r="A139" s="140" t="s">
        <v>144</v>
      </c>
      <c r="B139" s="140"/>
      <c r="C139" s="17">
        <v>990</v>
      </c>
      <c r="D139" s="21" t="s">
        <v>366</v>
      </c>
      <c r="H139" s="32"/>
    </row>
    <row r="140" spans="1:8" x14ac:dyDescent="0.25">
      <c r="A140" s="140" t="s">
        <v>143</v>
      </c>
      <c r="B140" s="140"/>
      <c r="C140" s="17">
        <v>183</v>
      </c>
      <c r="D140" s="21" t="s">
        <v>356</v>
      </c>
      <c r="H140" s="32"/>
    </row>
    <row r="141" spans="1:8" x14ac:dyDescent="0.25">
      <c r="A141" s="140" t="s">
        <v>142</v>
      </c>
      <c r="B141" s="140"/>
      <c r="C141" s="17">
        <v>610</v>
      </c>
      <c r="D141" s="21" t="s">
        <v>361</v>
      </c>
      <c r="H141" s="32"/>
    </row>
    <row r="142" spans="1:8" x14ac:dyDescent="0.25">
      <c r="A142" s="140" t="s">
        <v>141</v>
      </c>
      <c r="B142" s="140"/>
      <c r="C142" s="17">
        <v>669</v>
      </c>
      <c r="D142" s="21" t="s">
        <v>361</v>
      </c>
      <c r="H142" s="32"/>
    </row>
    <row r="143" spans="1:8" x14ac:dyDescent="0.25">
      <c r="A143" s="140" t="s">
        <v>76</v>
      </c>
      <c r="B143" s="140"/>
      <c r="C143" s="17">
        <v>44</v>
      </c>
      <c r="D143" s="21" t="s">
        <v>353</v>
      </c>
      <c r="H143" s="32"/>
    </row>
    <row r="144" spans="1:8" x14ac:dyDescent="0.25">
      <c r="A144" s="140" t="s">
        <v>139</v>
      </c>
      <c r="B144" s="140"/>
      <c r="C144" s="17">
        <v>515</v>
      </c>
      <c r="D144" s="21" t="s">
        <v>361</v>
      </c>
      <c r="H144" s="32"/>
    </row>
    <row r="145" spans="1:9" x14ac:dyDescent="0.25">
      <c r="A145" s="140" t="s">
        <v>138</v>
      </c>
      <c r="B145" s="140"/>
      <c r="C145" s="17">
        <v>293</v>
      </c>
      <c r="D145" s="21" t="s">
        <v>361</v>
      </c>
      <c r="H145" s="32"/>
    </row>
    <row r="146" spans="1:9" x14ac:dyDescent="0.25">
      <c r="A146" s="140" t="s">
        <v>25</v>
      </c>
      <c r="B146" s="140"/>
      <c r="C146" s="17">
        <v>273</v>
      </c>
      <c r="D146" s="21" t="s">
        <v>356</v>
      </c>
      <c r="H146" s="32"/>
    </row>
    <row r="147" spans="1:9" x14ac:dyDescent="0.25">
      <c r="A147" s="140" t="s">
        <v>137</v>
      </c>
      <c r="B147" s="140"/>
      <c r="C147" s="17">
        <v>3179</v>
      </c>
      <c r="D147" s="120" t="s">
        <v>366</v>
      </c>
      <c r="H147" s="32"/>
    </row>
    <row r="148" spans="1:9" x14ac:dyDescent="0.25">
      <c r="A148" s="140" t="s">
        <v>108</v>
      </c>
      <c r="B148" s="140"/>
      <c r="C148" s="17">
        <v>58</v>
      </c>
      <c r="D148" s="21" t="s">
        <v>356</v>
      </c>
      <c r="H148" s="32"/>
      <c r="I148" s="21"/>
    </row>
    <row r="149" spans="1:9" x14ac:dyDescent="0.25">
      <c r="A149" s="140" t="s">
        <v>136</v>
      </c>
      <c r="B149" s="140"/>
      <c r="C149" s="17">
        <v>770</v>
      </c>
      <c r="D149" s="21" t="s">
        <v>366</v>
      </c>
      <c r="H149" s="32"/>
    </row>
    <row r="150" spans="1:9" x14ac:dyDescent="0.25">
      <c r="A150" s="140" t="s">
        <v>23</v>
      </c>
      <c r="B150" s="140"/>
      <c r="C150" s="17">
        <v>57</v>
      </c>
      <c r="D150" s="21" t="s">
        <v>356</v>
      </c>
      <c r="H150" s="32"/>
    </row>
    <row r="151" spans="1:9" x14ac:dyDescent="0.25">
      <c r="A151" s="140" t="s">
        <v>135</v>
      </c>
      <c r="B151" s="140"/>
      <c r="C151" s="17">
        <v>529</v>
      </c>
      <c r="D151" s="21" t="s">
        <v>361</v>
      </c>
      <c r="H151" s="32"/>
    </row>
    <row r="152" spans="1:9" x14ac:dyDescent="0.25">
      <c r="A152" s="140" t="s">
        <v>75</v>
      </c>
      <c r="B152" s="140"/>
      <c r="C152" s="17">
        <v>8</v>
      </c>
      <c r="D152" s="21" t="s">
        <v>353</v>
      </c>
      <c r="H152" s="32"/>
    </row>
    <row r="153" spans="1:9" x14ac:dyDescent="0.25">
      <c r="A153" s="140" t="s">
        <v>133</v>
      </c>
      <c r="B153" s="140"/>
      <c r="C153" s="17">
        <v>858</v>
      </c>
      <c r="D153" s="21" t="s">
        <v>366</v>
      </c>
      <c r="H153" s="32"/>
    </row>
    <row r="154" spans="1:9" x14ac:dyDescent="0.25">
      <c r="A154" s="140" t="s">
        <v>132</v>
      </c>
      <c r="B154" s="140"/>
      <c r="C154" s="17">
        <v>1277</v>
      </c>
      <c r="D154" s="21" t="s">
        <v>366</v>
      </c>
      <c r="H154" s="32"/>
    </row>
    <row r="155" spans="1:9" x14ac:dyDescent="0.25">
      <c r="A155" s="140" t="s">
        <v>131</v>
      </c>
      <c r="B155" s="140"/>
      <c r="C155" s="17">
        <v>1738</v>
      </c>
      <c r="D155" s="21" t="s">
        <v>366</v>
      </c>
      <c r="H155" s="32"/>
    </row>
    <row r="156" spans="1:9" x14ac:dyDescent="0.25">
      <c r="A156" s="140" t="s">
        <v>74</v>
      </c>
      <c r="B156" s="140"/>
      <c r="C156" s="17">
        <v>137</v>
      </c>
      <c r="D156" s="21" t="s">
        <v>356</v>
      </c>
      <c r="H156" s="32"/>
    </row>
    <row r="157" spans="1:9" x14ac:dyDescent="0.25">
      <c r="A157" s="140" t="s">
        <v>129</v>
      </c>
      <c r="B157" s="140"/>
      <c r="C157" s="17">
        <v>346</v>
      </c>
      <c r="D157" s="21" t="s">
        <v>361</v>
      </c>
      <c r="H157" s="32"/>
    </row>
    <row r="158" spans="1:9" x14ac:dyDescent="0.25">
      <c r="A158" s="140" t="s">
        <v>128</v>
      </c>
      <c r="B158" s="140"/>
      <c r="C158" s="17">
        <v>2272</v>
      </c>
      <c r="D158" s="21" t="s">
        <v>366</v>
      </c>
      <c r="H158" s="32"/>
    </row>
    <row r="159" spans="1:9" x14ac:dyDescent="0.25">
      <c r="A159" s="140" t="s">
        <v>22</v>
      </c>
      <c r="B159" s="140"/>
      <c r="C159" s="17">
        <v>87</v>
      </c>
      <c r="D159" s="21" t="s">
        <v>356</v>
      </c>
      <c r="H159" s="32"/>
    </row>
    <row r="160" spans="1:9" x14ac:dyDescent="0.25">
      <c r="A160" s="140" t="s">
        <v>21</v>
      </c>
      <c r="B160" s="140"/>
      <c r="C160" s="17">
        <v>44</v>
      </c>
      <c r="D160" s="21" t="s">
        <v>356</v>
      </c>
      <c r="H160" s="32"/>
    </row>
    <row r="161" spans="1:8" x14ac:dyDescent="0.25">
      <c r="A161" s="140" t="s">
        <v>127</v>
      </c>
      <c r="B161" s="140"/>
      <c r="C161" s="17">
        <v>268</v>
      </c>
      <c r="D161" s="21" t="s">
        <v>361</v>
      </c>
      <c r="H161" s="32"/>
    </row>
    <row r="162" spans="1:8" x14ac:dyDescent="0.25">
      <c r="A162" s="140" t="s">
        <v>20</v>
      </c>
      <c r="B162" s="140"/>
      <c r="C162" s="17">
        <v>198</v>
      </c>
      <c r="D162" s="21" t="s">
        <v>356</v>
      </c>
      <c r="H162" s="32"/>
    </row>
    <row r="163" spans="1:8" x14ac:dyDescent="0.25">
      <c r="A163" s="140" t="s">
        <v>126</v>
      </c>
      <c r="B163" s="140"/>
      <c r="C163" s="17">
        <v>2902</v>
      </c>
      <c r="D163" s="21" t="s">
        <v>366</v>
      </c>
      <c r="H163" s="32"/>
    </row>
    <row r="164" spans="1:8" x14ac:dyDescent="0.25">
      <c r="A164" s="140" t="s">
        <v>125</v>
      </c>
      <c r="B164" s="140"/>
      <c r="C164" s="17">
        <v>3021</v>
      </c>
      <c r="D164" s="21" t="s">
        <v>366</v>
      </c>
      <c r="H164" s="32"/>
    </row>
    <row r="165" spans="1:8" x14ac:dyDescent="0.25">
      <c r="A165" s="140" t="s">
        <v>19</v>
      </c>
      <c r="B165" s="140"/>
      <c r="C165" s="17">
        <v>43</v>
      </c>
      <c r="D165" s="21" t="s">
        <v>356</v>
      </c>
      <c r="H165" s="32"/>
    </row>
    <row r="166" spans="1:8" x14ac:dyDescent="0.25">
      <c r="A166" s="140" t="s">
        <v>72</v>
      </c>
      <c r="B166" s="140"/>
      <c r="C166" s="17">
        <v>35</v>
      </c>
      <c r="D166" s="21" t="s">
        <v>353</v>
      </c>
      <c r="H166" s="32"/>
    </row>
    <row r="167" spans="1:8" x14ac:dyDescent="0.25">
      <c r="A167" s="140" t="s">
        <v>18</v>
      </c>
      <c r="B167" s="140"/>
      <c r="C167" s="17">
        <v>261</v>
      </c>
      <c r="D167" s="21" t="s">
        <v>361</v>
      </c>
      <c r="H167" s="32"/>
    </row>
    <row r="168" spans="1:8" x14ac:dyDescent="0.25">
      <c r="A168" s="140" t="s">
        <v>124</v>
      </c>
      <c r="B168" s="140"/>
      <c r="C168" s="17">
        <v>498</v>
      </c>
      <c r="D168" s="21" t="s">
        <v>361</v>
      </c>
      <c r="H168" s="32"/>
    </row>
    <row r="169" spans="1:8" x14ac:dyDescent="0.25">
      <c r="A169" s="140" t="s">
        <v>17</v>
      </c>
      <c r="B169" s="140"/>
      <c r="C169" s="17">
        <v>85</v>
      </c>
      <c r="D169" s="21" t="s">
        <v>356</v>
      </c>
      <c r="H169" s="32"/>
    </row>
    <row r="170" spans="1:8" x14ac:dyDescent="0.25">
      <c r="A170" s="140" t="s">
        <v>70</v>
      </c>
      <c r="B170" s="140"/>
      <c r="C170" s="17">
        <v>16</v>
      </c>
      <c r="D170" s="21" t="s">
        <v>353</v>
      </c>
      <c r="H170" s="32"/>
    </row>
    <row r="171" spans="1:8" x14ac:dyDescent="0.25">
      <c r="A171" s="140" t="s">
        <v>16</v>
      </c>
      <c r="B171" s="140"/>
      <c r="C171" s="17">
        <v>186</v>
      </c>
      <c r="D171" s="21" t="s">
        <v>356</v>
      </c>
      <c r="H171" s="32"/>
    </row>
    <row r="172" spans="1:8" x14ac:dyDescent="0.25">
      <c r="A172" s="140" t="s">
        <v>123</v>
      </c>
      <c r="B172" s="140"/>
      <c r="C172" s="17">
        <v>836</v>
      </c>
      <c r="D172" s="21" t="s">
        <v>366</v>
      </c>
      <c r="H172" s="32"/>
    </row>
    <row r="173" spans="1:8" x14ac:dyDescent="0.25">
      <c r="A173" s="140" t="s">
        <v>15</v>
      </c>
      <c r="B173" s="140"/>
      <c r="C173" s="17">
        <v>283</v>
      </c>
      <c r="D173" s="21" t="s">
        <v>361</v>
      </c>
      <c r="H173" s="32"/>
    </row>
    <row r="174" spans="1:8" x14ac:dyDescent="0.25">
      <c r="A174" s="140" t="s">
        <v>122</v>
      </c>
      <c r="B174" s="140"/>
      <c r="C174" s="17">
        <v>726</v>
      </c>
      <c r="D174" s="21" t="s">
        <v>361</v>
      </c>
      <c r="H174" s="32"/>
    </row>
    <row r="175" spans="1:8" x14ac:dyDescent="0.25">
      <c r="A175" s="140" t="s">
        <v>121</v>
      </c>
      <c r="B175" s="140"/>
      <c r="C175" s="17">
        <v>75</v>
      </c>
      <c r="D175" s="21" t="s">
        <v>356</v>
      </c>
      <c r="H175" s="32"/>
    </row>
    <row r="176" spans="1:8" x14ac:dyDescent="0.25">
      <c r="A176" s="140" t="s">
        <v>69</v>
      </c>
      <c r="B176" s="140"/>
      <c r="C176" s="17">
        <v>22</v>
      </c>
      <c r="D176" s="21" t="s">
        <v>353</v>
      </c>
      <c r="H176" s="32"/>
    </row>
    <row r="177" spans="1:13" x14ac:dyDescent="0.25">
      <c r="A177" s="140" t="s">
        <v>11</v>
      </c>
      <c r="B177" s="140"/>
      <c r="C177" s="17">
        <v>244</v>
      </c>
      <c r="D177" s="21" t="s">
        <v>356</v>
      </c>
      <c r="H177" s="32"/>
    </row>
    <row r="178" spans="1:13" x14ac:dyDescent="0.25">
      <c r="A178" s="140" t="s">
        <v>120</v>
      </c>
      <c r="B178" s="140"/>
      <c r="C178" s="17">
        <v>1217</v>
      </c>
      <c r="D178" s="21" t="s">
        <v>366</v>
      </c>
      <c r="H178" s="32"/>
    </row>
    <row r="179" spans="1:13" x14ac:dyDescent="0.25">
      <c r="A179" s="140" t="s">
        <v>119</v>
      </c>
      <c r="B179" s="140"/>
      <c r="C179" s="17">
        <v>2843</v>
      </c>
      <c r="D179" s="21" t="s">
        <v>366</v>
      </c>
      <c r="H179" s="29"/>
    </row>
    <row r="180" spans="1:13" x14ac:dyDescent="0.25">
      <c r="A180" s="140" t="s">
        <v>118</v>
      </c>
      <c r="B180" s="140"/>
      <c r="C180" s="17">
        <v>50</v>
      </c>
      <c r="D180" s="21" t="s">
        <v>353</v>
      </c>
    </row>
    <row r="181" spans="1:13" x14ac:dyDescent="0.25">
      <c r="A181" s="140" t="s">
        <v>117</v>
      </c>
      <c r="B181" s="140"/>
      <c r="C181" s="17">
        <v>3602</v>
      </c>
      <c r="D181" s="21" t="s">
        <v>366</v>
      </c>
    </row>
    <row r="182" spans="1:13" x14ac:dyDescent="0.25">
      <c r="A182" s="140" t="s">
        <v>116</v>
      </c>
      <c r="B182" s="140"/>
      <c r="C182" s="17">
        <v>617</v>
      </c>
      <c r="D182" s="21" t="s">
        <v>361</v>
      </c>
    </row>
    <row r="183" spans="1:13" x14ac:dyDescent="0.25">
      <c r="A183" s="140" t="s">
        <v>9</v>
      </c>
      <c r="B183" s="140"/>
      <c r="C183" s="17">
        <v>72</v>
      </c>
      <c r="D183" s="21" t="s">
        <v>356</v>
      </c>
    </row>
    <row r="184" spans="1:13" x14ac:dyDescent="0.25">
      <c r="A184" s="140" t="s">
        <v>8</v>
      </c>
      <c r="B184" s="140"/>
      <c r="C184" s="17">
        <v>144</v>
      </c>
      <c r="D184" s="21" t="s">
        <v>356</v>
      </c>
    </row>
    <row r="185" spans="1:13" x14ac:dyDescent="0.25">
      <c r="A185" s="140" t="s">
        <v>115</v>
      </c>
      <c r="B185" s="140"/>
      <c r="C185" s="17">
        <v>3211</v>
      </c>
      <c r="D185" s="21" t="s">
        <v>361</v>
      </c>
    </row>
    <row r="186" spans="1:13" x14ac:dyDescent="0.25">
      <c r="A186" s="140" t="s">
        <v>114</v>
      </c>
      <c r="B186" s="140"/>
      <c r="C186" s="17">
        <v>82</v>
      </c>
      <c r="D186" s="21" t="s">
        <v>356</v>
      </c>
    </row>
    <row r="187" spans="1:13" x14ac:dyDescent="0.25">
      <c r="A187" s="140" t="s">
        <v>107</v>
      </c>
      <c r="B187" s="140"/>
      <c r="C187" s="17">
        <v>40</v>
      </c>
      <c r="D187" s="21" t="s">
        <v>356</v>
      </c>
    </row>
    <row r="188" spans="1:13" x14ac:dyDescent="0.25">
      <c r="A188" s="140" t="s">
        <v>68</v>
      </c>
      <c r="B188" s="140"/>
      <c r="C188" s="17">
        <v>36</v>
      </c>
      <c r="D188" s="21" t="s">
        <v>356</v>
      </c>
    </row>
    <row r="189" spans="1:13" x14ac:dyDescent="0.25">
      <c r="A189" s="140" t="s">
        <v>67</v>
      </c>
      <c r="B189" s="140"/>
      <c r="C189" s="17">
        <v>22</v>
      </c>
      <c r="D189" s="28" t="s">
        <v>353</v>
      </c>
    </row>
    <row r="192" spans="1:13" x14ac:dyDescent="0.25">
      <c r="A192" s="140" t="s">
        <v>609</v>
      </c>
      <c r="B192" s="140"/>
      <c r="C192" s="140"/>
      <c r="D192" s="140" t="s">
        <v>836</v>
      </c>
      <c r="E192" s="140"/>
      <c r="F192" s="140"/>
      <c r="G192" s="140"/>
      <c r="H192" s="140"/>
      <c r="I192" s="140"/>
      <c r="J192" s="140"/>
      <c r="K192" s="140"/>
      <c r="L192" s="140"/>
      <c r="M192" s="140"/>
    </row>
    <row r="193" spans="1:13" x14ac:dyDescent="0.25">
      <c r="A193" s="140" t="s">
        <v>838</v>
      </c>
      <c r="B193" s="140"/>
      <c r="C193" s="140"/>
      <c r="D193" s="142" t="s">
        <v>839</v>
      </c>
      <c r="E193" s="140"/>
      <c r="F193" s="140"/>
      <c r="G193" s="140"/>
      <c r="H193" s="140"/>
      <c r="I193" s="140"/>
      <c r="J193" s="140"/>
      <c r="K193" s="140"/>
      <c r="L193" s="140"/>
      <c r="M193" s="140"/>
    </row>
    <row r="194" spans="1:13" x14ac:dyDescent="0.25">
      <c r="A194" s="140" t="s">
        <v>840</v>
      </c>
      <c r="B194" s="140"/>
      <c r="C194" s="140"/>
      <c r="D194" s="142" t="s">
        <v>841</v>
      </c>
      <c r="E194" s="140"/>
      <c r="F194" s="140"/>
      <c r="G194" s="140"/>
      <c r="H194" s="140"/>
      <c r="I194" s="140"/>
      <c r="J194" s="140"/>
      <c r="K194" s="140"/>
      <c r="L194" s="140"/>
      <c r="M194" s="140"/>
    </row>
    <row r="195" spans="1:13" x14ac:dyDescent="0.25">
      <c r="A195" s="140" t="s">
        <v>842</v>
      </c>
      <c r="B195" s="140"/>
      <c r="C195" s="140"/>
      <c r="D195" s="142" t="s">
        <v>843</v>
      </c>
      <c r="E195" s="140"/>
      <c r="F195" s="140"/>
      <c r="G195" s="140"/>
      <c r="H195" s="140"/>
      <c r="I195" s="140"/>
      <c r="J195" s="140"/>
      <c r="K195" s="140"/>
      <c r="L195" s="140"/>
      <c r="M195" s="140"/>
    </row>
    <row r="196" spans="1:13" x14ac:dyDescent="0.25">
      <c r="A196" s="140" t="s">
        <v>834</v>
      </c>
      <c r="B196" s="140"/>
      <c r="C196" s="140"/>
      <c r="D196" s="142" t="s">
        <v>844</v>
      </c>
      <c r="E196" s="140"/>
      <c r="F196" s="140"/>
      <c r="G196" s="140"/>
      <c r="H196" s="140"/>
      <c r="I196" s="140"/>
      <c r="J196" s="140"/>
      <c r="K196" s="140"/>
      <c r="L196" s="140"/>
      <c r="M196" s="140"/>
    </row>
    <row r="198" spans="1:13" x14ac:dyDescent="0.25">
      <c r="A198" s="115" t="s">
        <v>610</v>
      </c>
      <c r="B198" s="115" t="s">
        <v>610</v>
      </c>
    </row>
    <row r="199" spans="1:13" x14ac:dyDescent="0.25">
      <c r="A199" s="115" t="s">
        <v>610</v>
      </c>
      <c r="B199" s="141" t="s">
        <v>845</v>
      </c>
      <c r="C199" s="140"/>
      <c r="D199" s="140"/>
    </row>
    <row r="200" spans="1:13" x14ac:dyDescent="0.25">
      <c r="B200" s="140"/>
      <c r="C200" s="140"/>
      <c r="D200" s="140"/>
    </row>
    <row r="201" spans="1:13" x14ac:dyDescent="0.25">
      <c r="B201" s="140"/>
      <c r="C201" s="140"/>
      <c r="D201" s="140"/>
    </row>
    <row r="202" spans="1:13" x14ac:dyDescent="0.25">
      <c r="B202" s="140"/>
      <c r="C202" s="140"/>
      <c r="D202" s="140"/>
    </row>
  </sheetData>
  <mergeCells count="197">
    <mergeCell ref="B199:D202"/>
    <mergeCell ref="A194:C194"/>
    <mergeCell ref="D194:M194"/>
    <mergeCell ref="A195:C195"/>
    <mergeCell ref="D195:M195"/>
    <mergeCell ref="A196:C196"/>
    <mergeCell ref="D196:M196"/>
    <mergeCell ref="A187:B187"/>
    <mergeCell ref="A188:B188"/>
    <mergeCell ref="A189:B189"/>
    <mergeCell ref="A192:C192"/>
    <mergeCell ref="D192:M192"/>
    <mergeCell ref="A193:C193"/>
    <mergeCell ref="D193:M193"/>
    <mergeCell ref="A181:B181"/>
    <mergeCell ref="A182:B182"/>
    <mergeCell ref="A183:B183"/>
    <mergeCell ref="A184:B184"/>
    <mergeCell ref="A185:B185"/>
    <mergeCell ref="A186:B186"/>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63:B163"/>
    <mergeCell ref="A164:B164"/>
    <mergeCell ref="A165:B165"/>
    <mergeCell ref="A166:B166"/>
    <mergeCell ref="A167:B167"/>
    <mergeCell ref="A168:B168"/>
    <mergeCell ref="A157:B157"/>
    <mergeCell ref="A158:B158"/>
    <mergeCell ref="A159:B159"/>
    <mergeCell ref="A160:B160"/>
    <mergeCell ref="A161:B161"/>
    <mergeCell ref="A162:B162"/>
    <mergeCell ref="A151:B151"/>
    <mergeCell ref="A152:B152"/>
    <mergeCell ref="A153:B153"/>
    <mergeCell ref="A154:B154"/>
    <mergeCell ref="A155:B155"/>
    <mergeCell ref="A156:B156"/>
    <mergeCell ref="A145:B145"/>
    <mergeCell ref="A146:B146"/>
    <mergeCell ref="A147:B147"/>
    <mergeCell ref="A148:B148"/>
    <mergeCell ref="A149:B149"/>
    <mergeCell ref="A150:B150"/>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03:B103"/>
    <mergeCell ref="A104:B104"/>
    <mergeCell ref="A105:B105"/>
    <mergeCell ref="A106:B106"/>
    <mergeCell ref="A107:B107"/>
    <mergeCell ref="A108:B108"/>
    <mergeCell ref="A97:B97"/>
    <mergeCell ref="A98:B98"/>
    <mergeCell ref="A99:B99"/>
    <mergeCell ref="A100:B100"/>
    <mergeCell ref="A101:B101"/>
    <mergeCell ref="A102:B102"/>
    <mergeCell ref="A91:B91"/>
    <mergeCell ref="A92:B92"/>
    <mergeCell ref="A93:B93"/>
    <mergeCell ref="A94:B94"/>
    <mergeCell ref="A95:B95"/>
    <mergeCell ref="A96:B96"/>
    <mergeCell ref="A85:B85"/>
    <mergeCell ref="A86:B86"/>
    <mergeCell ref="A87:B87"/>
    <mergeCell ref="A88:B88"/>
    <mergeCell ref="A89:B89"/>
    <mergeCell ref="A90:B90"/>
    <mergeCell ref="A79:B79"/>
    <mergeCell ref="A80:B80"/>
    <mergeCell ref="A81:B81"/>
    <mergeCell ref="A82:B82"/>
    <mergeCell ref="A83:B83"/>
    <mergeCell ref="A84:B84"/>
    <mergeCell ref="A73:B73"/>
    <mergeCell ref="A74:B74"/>
    <mergeCell ref="A75:B75"/>
    <mergeCell ref="A76:B76"/>
    <mergeCell ref="A77:B77"/>
    <mergeCell ref="A78:B78"/>
    <mergeCell ref="A67:B67"/>
    <mergeCell ref="A68:B68"/>
    <mergeCell ref="A69:B69"/>
    <mergeCell ref="A70:B70"/>
    <mergeCell ref="A71:B71"/>
    <mergeCell ref="A72:B72"/>
    <mergeCell ref="A61:B61"/>
    <mergeCell ref="A62:B62"/>
    <mergeCell ref="A63:B63"/>
    <mergeCell ref="A64:B64"/>
    <mergeCell ref="A65:B65"/>
    <mergeCell ref="A66:B66"/>
    <mergeCell ref="A55:B55"/>
    <mergeCell ref="A56:B56"/>
    <mergeCell ref="A57:B57"/>
    <mergeCell ref="A58:B58"/>
    <mergeCell ref="A59:B59"/>
    <mergeCell ref="A60:B60"/>
    <mergeCell ref="A49:B49"/>
    <mergeCell ref="A50:B50"/>
    <mergeCell ref="A51:B51"/>
    <mergeCell ref="A52:B52"/>
    <mergeCell ref="A53:B53"/>
    <mergeCell ref="A54:B54"/>
    <mergeCell ref="A43:B43"/>
    <mergeCell ref="A44:B44"/>
    <mergeCell ref="A45:B45"/>
    <mergeCell ref="A46:B46"/>
    <mergeCell ref="A47:B47"/>
    <mergeCell ref="A48:B48"/>
    <mergeCell ref="A37:B37"/>
    <mergeCell ref="A38:B38"/>
    <mergeCell ref="A39:B39"/>
    <mergeCell ref="A40:B40"/>
    <mergeCell ref="A41:B41"/>
    <mergeCell ref="A42:B42"/>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A21:B21"/>
    <mergeCell ref="A22:B22"/>
    <mergeCell ref="A23:B23"/>
    <mergeCell ref="A24:B24"/>
    <mergeCell ref="A4:B4"/>
    <mergeCell ref="A5:B5"/>
    <mergeCell ref="A6:B6"/>
    <mergeCell ref="A13:B13"/>
    <mergeCell ref="A14:B14"/>
    <mergeCell ref="A15:B15"/>
    <mergeCell ref="A16:B16"/>
    <mergeCell ref="A17:B17"/>
    <mergeCell ref="A18:B18"/>
    <mergeCell ref="A7:B7"/>
    <mergeCell ref="A8:B8"/>
    <mergeCell ref="A9:B9"/>
    <mergeCell ref="A10:B10"/>
    <mergeCell ref="A11:B11"/>
    <mergeCell ref="A12:B12"/>
  </mergeCells>
  <hyperlinks>
    <hyperlink ref="D193" r:id="rId1"/>
    <hyperlink ref="D194" r:id="rId2"/>
    <hyperlink ref="D195" r:id="rId3"/>
    <hyperlink ref="D196" r:id="rId4"/>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D185"/>
  <sheetViews>
    <sheetView workbookViewId="0">
      <selection activeCell="F20" sqref="F20"/>
    </sheetView>
  </sheetViews>
  <sheetFormatPr defaultRowHeight="15" x14ac:dyDescent="0.25"/>
  <cols>
    <col min="1" max="1" width="38" bestFit="1" customWidth="1"/>
    <col min="2" max="2" width="26.7109375" customWidth="1"/>
    <col min="3" max="3" width="14" bestFit="1" customWidth="1"/>
  </cols>
  <sheetData>
    <row r="1" spans="1:4" x14ac:dyDescent="0.25">
      <c r="A1" s="55" t="s">
        <v>610</v>
      </c>
      <c r="B1" s="58" t="s">
        <v>613</v>
      </c>
      <c r="C1" t="s">
        <v>612</v>
      </c>
      <c r="D1" t="s">
        <v>614</v>
      </c>
    </row>
    <row r="2" spans="1:4" x14ac:dyDescent="0.25">
      <c r="A2" s="54" t="s">
        <v>106</v>
      </c>
      <c r="B2" s="53">
        <v>83</v>
      </c>
      <c r="C2" s="16">
        <v>425.87400000000002</v>
      </c>
    </row>
    <row r="3" spans="1:4" x14ac:dyDescent="0.25">
      <c r="A3" s="54" t="s">
        <v>232</v>
      </c>
      <c r="B3" s="53">
        <v>98</v>
      </c>
      <c r="C3" s="16">
        <v>3794.8809999999999</v>
      </c>
    </row>
    <row r="4" spans="1:4" x14ac:dyDescent="0.25">
      <c r="A4" s="54" t="s">
        <v>231</v>
      </c>
      <c r="B4" s="53">
        <v>93</v>
      </c>
      <c r="C4" s="16">
        <v>3925.922</v>
      </c>
    </row>
    <row r="5" spans="1:4" x14ac:dyDescent="0.25">
      <c r="A5" s="54" t="s">
        <v>62</v>
      </c>
      <c r="B5" s="53">
        <v>73</v>
      </c>
      <c r="C5" s="16">
        <v>4081.9769999999999</v>
      </c>
    </row>
    <row r="6" spans="1:4" x14ac:dyDescent="0.25">
      <c r="A6" s="54" t="s">
        <v>229</v>
      </c>
      <c r="B6" s="53">
        <v>99</v>
      </c>
      <c r="C6" s="16">
        <v>13150.423000000001</v>
      </c>
    </row>
    <row r="7" spans="1:4" x14ac:dyDescent="0.25">
      <c r="A7" s="54" t="s">
        <v>228</v>
      </c>
      <c r="B7" s="53">
        <v>94</v>
      </c>
      <c r="C7" s="16">
        <v>7728.3580000000002</v>
      </c>
    </row>
    <row r="8" spans="1:4" x14ac:dyDescent="0.25">
      <c r="A8" s="54" t="s">
        <v>61</v>
      </c>
      <c r="B8" s="53">
        <v>93</v>
      </c>
      <c r="C8" s="16">
        <v>2614.7020000000002</v>
      </c>
    </row>
    <row r="9" spans="1:4" x14ac:dyDescent="0.25">
      <c r="A9" s="54" t="s">
        <v>227</v>
      </c>
      <c r="B9" s="53">
        <v>92</v>
      </c>
      <c r="C9" s="16">
        <v>44999.377999999997</v>
      </c>
    </row>
    <row r="10" spans="1:4" x14ac:dyDescent="0.25">
      <c r="A10" s="54" t="s">
        <v>226</v>
      </c>
      <c r="B10" s="53">
        <v>83</v>
      </c>
      <c r="C10" s="16">
        <v>45685.879000000001</v>
      </c>
    </row>
    <row r="11" spans="1:4" x14ac:dyDescent="0.25">
      <c r="A11" s="54" t="s">
        <v>224</v>
      </c>
      <c r="B11" s="53">
        <v>73</v>
      </c>
      <c r="C11" s="16">
        <v>4798.2349999999997</v>
      </c>
    </row>
    <row r="12" spans="1:4" x14ac:dyDescent="0.25">
      <c r="A12" s="54" t="s">
        <v>223</v>
      </c>
      <c r="B12" s="53">
        <v>96</v>
      </c>
      <c r="C12" s="16">
        <v>21650.670999999998</v>
      </c>
    </row>
    <row r="13" spans="1:4" x14ac:dyDescent="0.25">
      <c r="A13" s="54" t="s">
        <v>222</v>
      </c>
      <c r="B13" s="53">
        <v>98</v>
      </c>
      <c r="C13" s="16">
        <v>18589.379000000001</v>
      </c>
    </row>
    <row r="14" spans="1:4" x14ac:dyDescent="0.25">
      <c r="A14" s="54" t="s">
        <v>105</v>
      </c>
      <c r="B14" s="53">
        <v>94</v>
      </c>
      <c r="C14" s="16">
        <v>583.97299999999996</v>
      </c>
    </row>
    <row r="15" spans="1:4" x14ac:dyDescent="0.25">
      <c r="A15" s="54" t="s">
        <v>221</v>
      </c>
      <c r="B15" s="53">
        <v>93</v>
      </c>
      <c r="C15" s="16">
        <v>14116.823</v>
      </c>
    </row>
    <row r="16" spans="1:4" x14ac:dyDescent="0.25">
      <c r="A16" s="54" t="s">
        <v>220</v>
      </c>
      <c r="B16" s="53">
        <v>96</v>
      </c>
      <c r="C16" s="16">
        <v>5190.7870000000003</v>
      </c>
    </row>
    <row r="17" spans="1:4" x14ac:dyDescent="0.25">
      <c r="A17" s="54" t="s">
        <v>219</v>
      </c>
      <c r="B17" s="53">
        <v>99</v>
      </c>
      <c r="C17" s="16">
        <v>43551.900999999998</v>
      </c>
    </row>
    <row r="18" spans="1:4" x14ac:dyDescent="0.25">
      <c r="A18" s="54" t="s">
        <v>218</v>
      </c>
      <c r="B18" s="53">
        <v>97</v>
      </c>
      <c r="C18" s="16">
        <v>4113.8580000000002</v>
      </c>
    </row>
    <row r="19" spans="1:4" x14ac:dyDescent="0.25">
      <c r="A19" s="54" t="s">
        <v>104</v>
      </c>
      <c r="B19" s="53">
        <v>83</v>
      </c>
      <c r="C19" s="16">
        <v>709.82399999999996</v>
      </c>
      <c r="D19" s="57">
        <v>52.1</v>
      </c>
    </row>
    <row r="20" spans="1:4" x14ac:dyDescent="0.25">
      <c r="A20" s="54" t="s">
        <v>59</v>
      </c>
      <c r="B20" s="53">
        <v>96</v>
      </c>
      <c r="C20" s="16">
        <v>1850.114</v>
      </c>
    </row>
    <row r="21" spans="1:4" x14ac:dyDescent="0.25">
      <c r="A21" s="54" t="s">
        <v>217</v>
      </c>
      <c r="B21" s="53">
        <v>85</v>
      </c>
      <c r="C21" s="16">
        <v>1707.624</v>
      </c>
    </row>
    <row r="22" spans="1:4" x14ac:dyDescent="0.25">
      <c r="A22" s="54" t="s">
        <v>216</v>
      </c>
      <c r="B22" s="53">
        <v>90</v>
      </c>
      <c r="C22" s="16">
        <v>4365.1989999999996</v>
      </c>
    </row>
    <row r="23" spans="1:4" x14ac:dyDescent="0.25">
      <c r="A23" s="54" t="s">
        <v>215</v>
      </c>
      <c r="B23" s="53">
        <v>96</v>
      </c>
      <c r="C23" s="16">
        <v>6436.95</v>
      </c>
    </row>
    <row r="24" spans="1:4" x14ac:dyDescent="0.25">
      <c r="A24" s="54" t="s">
        <v>213</v>
      </c>
      <c r="B24" s="53">
        <v>99</v>
      </c>
      <c r="C24" s="16">
        <v>8360.3269999999993</v>
      </c>
    </row>
    <row r="25" spans="1:4" x14ac:dyDescent="0.25">
      <c r="A25" s="54" t="s">
        <v>212</v>
      </c>
      <c r="B25" s="53">
        <v>99</v>
      </c>
      <c r="C25" s="16">
        <v>26423.102999999999</v>
      </c>
    </row>
    <row r="26" spans="1:4" x14ac:dyDescent="0.25">
      <c r="A26" s="54" t="s">
        <v>211</v>
      </c>
      <c r="B26" s="53">
        <v>94</v>
      </c>
      <c r="C26" s="16">
        <v>6421.32</v>
      </c>
    </row>
    <row r="27" spans="1:4" x14ac:dyDescent="0.25">
      <c r="A27" s="54" t="s">
        <v>103</v>
      </c>
      <c r="B27" s="53">
        <v>82</v>
      </c>
      <c r="C27" s="16">
        <v>589.10699999999997</v>
      </c>
    </row>
    <row r="28" spans="1:4" x14ac:dyDescent="0.25">
      <c r="A28" s="54" t="s">
        <v>102</v>
      </c>
      <c r="B28" s="53">
        <v>92</v>
      </c>
      <c r="C28" s="16">
        <v>164.083</v>
      </c>
    </row>
    <row r="29" spans="1:4" x14ac:dyDescent="0.25">
      <c r="A29" s="54" t="s">
        <v>101</v>
      </c>
      <c r="B29" s="53">
        <v>94</v>
      </c>
      <c r="C29" s="16">
        <v>768.36599999999999</v>
      </c>
    </row>
    <row r="30" spans="1:4" x14ac:dyDescent="0.25">
      <c r="A30" s="54" t="s">
        <v>57</v>
      </c>
      <c r="B30" s="53">
        <v>80</v>
      </c>
      <c r="C30" s="16">
        <v>1113.5909999999999</v>
      </c>
    </row>
    <row r="31" spans="1:4" x14ac:dyDescent="0.25">
      <c r="A31" s="54" t="s">
        <v>210</v>
      </c>
      <c r="B31" s="53">
        <v>80</v>
      </c>
      <c r="C31" s="16">
        <v>39682.894</v>
      </c>
    </row>
    <row r="32" spans="1:4" x14ac:dyDescent="0.25">
      <c r="A32" s="54" t="s">
        <v>56</v>
      </c>
      <c r="B32" s="53">
        <v>99</v>
      </c>
      <c r="C32" s="16">
        <v>3100.259</v>
      </c>
    </row>
    <row r="33" spans="1:3" x14ac:dyDescent="0.25">
      <c r="A33" s="54" t="s">
        <v>100</v>
      </c>
      <c r="B33" s="53">
        <v>54</v>
      </c>
      <c r="C33" s="16">
        <v>439.85399999999998</v>
      </c>
    </row>
    <row r="34" spans="1:3" x14ac:dyDescent="0.25">
      <c r="A34" s="54" t="s">
        <v>99</v>
      </c>
      <c r="B34" s="53">
        <v>23</v>
      </c>
      <c r="C34" s="16">
        <v>699.33299999999997</v>
      </c>
    </row>
    <row r="35" spans="1:3" x14ac:dyDescent="0.25">
      <c r="A35" s="54" t="s">
        <v>209</v>
      </c>
      <c r="B35" s="53">
        <v>97</v>
      </c>
      <c r="C35" s="16">
        <v>9485.2710000000006</v>
      </c>
    </row>
    <row r="36" spans="1:3" x14ac:dyDescent="0.25">
      <c r="A36" s="54" t="s">
        <v>55</v>
      </c>
      <c r="B36" s="53">
        <v>97</v>
      </c>
      <c r="C36" s="16">
        <v>3738.9520000000002</v>
      </c>
    </row>
    <row r="37" spans="1:3" x14ac:dyDescent="0.25">
      <c r="A37" s="54" t="s">
        <v>208</v>
      </c>
      <c r="B37" s="53">
        <v>92</v>
      </c>
      <c r="C37" s="16">
        <v>5153.5039999999999</v>
      </c>
    </row>
    <row r="38" spans="1:3" x14ac:dyDescent="0.25">
      <c r="A38" s="54" t="s">
        <v>98</v>
      </c>
      <c r="B38" s="53">
        <v>83</v>
      </c>
      <c r="C38" s="16">
        <v>823.07</v>
      </c>
    </row>
    <row r="39" spans="1:3" x14ac:dyDescent="0.25">
      <c r="A39" s="54" t="s">
        <v>207</v>
      </c>
      <c r="B39" s="53">
        <v>91</v>
      </c>
      <c r="C39" s="16">
        <v>2557.306</v>
      </c>
    </row>
    <row r="40" spans="1:3" x14ac:dyDescent="0.25">
      <c r="A40" s="54" t="s">
        <v>205</v>
      </c>
      <c r="B40" s="53">
        <v>86</v>
      </c>
      <c r="C40" s="16">
        <v>6488.2179999999998</v>
      </c>
    </row>
    <row r="41" spans="1:3" x14ac:dyDescent="0.25">
      <c r="A41" s="54" t="s">
        <v>53</v>
      </c>
      <c r="B41" s="53">
        <v>81</v>
      </c>
      <c r="C41" s="16">
        <v>1051.989</v>
      </c>
    </row>
    <row r="42" spans="1:3" x14ac:dyDescent="0.25">
      <c r="A42" s="54" t="s">
        <v>203</v>
      </c>
      <c r="B42" s="53">
        <v>96</v>
      </c>
      <c r="C42" s="16">
        <v>14233.351000000001</v>
      </c>
    </row>
    <row r="43" spans="1:3" x14ac:dyDescent="0.25">
      <c r="A43" s="54" t="s">
        <v>202</v>
      </c>
      <c r="B43" s="53">
        <v>96</v>
      </c>
      <c r="C43" s="16">
        <v>5596</v>
      </c>
    </row>
    <row r="44" spans="1:3" x14ac:dyDescent="0.25">
      <c r="A44" s="54" t="s">
        <v>201</v>
      </c>
      <c r="B44" s="53">
        <v>99</v>
      </c>
      <c r="C44" s="16">
        <v>29617.93</v>
      </c>
    </row>
    <row r="45" spans="1:3" x14ac:dyDescent="0.25">
      <c r="A45" s="54" t="s">
        <v>200</v>
      </c>
      <c r="B45" s="53">
        <v>99</v>
      </c>
      <c r="C45" s="16">
        <v>18170.867999999999</v>
      </c>
    </row>
    <row r="46" spans="1:3" x14ac:dyDescent="0.25">
      <c r="A46" s="54" t="s">
        <v>198</v>
      </c>
      <c r="B46" s="53">
        <v>77</v>
      </c>
      <c r="C46" s="16">
        <v>162.38499999999999</v>
      </c>
    </row>
    <row r="47" spans="1:3" x14ac:dyDescent="0.25">
      <c r="A47" s="54" t="s">
        <v>197</v>
      </c>
      <c r="B47" s="53">
        <v>89</v>
      </c>
      <c r="C47" s="16">
        <v>56051.559000000001</v>
      </c>
    </row>
    <row r="48" spans="1:3" x14ac:dyDescent="0.25">
      <c r="A48" s="54" t="s">
        <v>52</v>
      </c>
      <c r="B48" s="53">
        <v>89</v>
      </c>
      <c r="C48" s="16">
        <v>1304.8610000000001</v>
      </c>
    </row>
    <row r="49" spans="1:3" x14ac:dyDescent="0.25">
      <c r="A49" s="54" t="s">
        <v>196</v>
      </c>
      <c r="B49" s="53">
        <v>99</v>
      </c>
      <c r="C49" s="16">
        <v>4975.99</v>
      </c>
    </row>
    <row r="50" spans="1:3" x14ac:dyDescent="0.25">
      <c r="A50" s="54" t="s">
        <v>195</v>
      </c>
      <c r="B50" s="53">
        <v>82</v>
      </c>
      <c r="C50" s="16">
        <v>4815.8</v>
      </c>
    </row>
    <row r="51" spans="1:3" x14ac:dyDescent="0.25">
      <c r="A51" s="54" t="s">
        <v>51</v>
      </c>
      <c r="B51" s="53">
        <v>75</v>
      </c>
      <c r="C51" s="16">
        <v>3569.7179999999998</v>
      </c>
    </row>
    <row r="52" spans="1:3" x14ac:dyDescent="0.25">
      <c r="A52" s="54" t="s">
        <v>194</v>
      </c>
      <c r="B52" s="53">
        <v>97</v>
      </c>
      <c r="C52" s="16">
        <v>2455.8270000000002</v>
      </c>
    </row>
    <row r="53" spans="1:3" x14ac:dyDescent="0.25">
      <c r="A53" s="54" t="s">
        <v>49</v>
      </c>
      <c r="B53" s="53">
        <v>91</v>
      </c>
      <c r="C53" s="16">
        <v>3623.279</v>
      </c>
    </row>
    <row r="54" spans="1:3" x14ac:dyDescent="0.25">
      <c r="A54" s="54" t="s">
        <v>193</v>
      </c>
      <c r="B54" s="53">
        <v>33</v>
      </c>
      <c r="C54" s="16">
        <v>9588.0619999999999</v>
      </c>
    </row>
    <row r="55" spans="1:3" x14ac:dyDescent="0.25">
      <c r="A55" s="54" t="s">
        <v>96</v>
      </c>
      <c r="B55" s="53">
        <v>99</v>
      </c>
      <c r="C55" s="16">
        <v>359.69200000000001</v>
      </c>
    </row>
    <row r="56" spans="1:3" x14ac:dyDescent="0.25">
      <c r="A56" s="54" t="s">
        <v>192</v>
      </c>
      <c r="B56" s="53">
        <v>95</v>
      </c>
      <c r="C56" s="16">
        <v>14402.462</v>
      </c>
    </row>
    <row r="57" spans="1:3" x14ac:dyDescent="0.25">
      <c r="A57" s="54" t="s">
        <v>95</v>
      </c>
      <c r="B57" s="53">
        <v>79</v>
      </c>
      <c r="C57" s="16">
        <v>389.42899999999997</v>
      </c>
    </row>
    <row r="58" spans="1:3" x14ac:dyDescent="0.25">
      <c r="A58" s="54" t="s">
        <v>191</v>
      </c>
      <c r="B58" s="53">
        <v>99</v>
      </c>
      <c r="C58" s="16">
        <v>3286.2820000000002</v>
      </c>
    </row>
    <row r="59" spans="1:3" x14ac:dyDescent="0.25">
      <c r="A59" s="54" t="s">
        <v>190</v>
      </c>
      <c r="B59" s="53">
        <v>99</v>
      </c>
      <c r="C59" s="16">
        <v>44555.81</v>
      </c>
    </row>
    <row r="60" spans="1:3" x14ac:dyDescent="0.25">
      <c r="A60" s="54" t="s">
        <v>189</v>
      </c>
      <c r="B60" s="53">
        <v>99</v>
      </c>
      <c r="C60" s="16">
        <v>42409.874000000003</v>
      </c>
    </row>
    <row r="61" spans="1:3" x14ac:dyDescent="0.25">
      <c r="A61" s="54" t="s">
        <v>188</v>
      </c>
      <c r="B61" s="53">
        <v>45</v>
      </c>
      <c r="C61" s="16">
        <v>7423.8559999999998</v>
      </c>
    </row>
    <row r="62" spans="1:3" x14ac:dyDescent="0.25">
      <c r="A62" s="54" t="s">
        <v>187</v>
      </c>
      <c r="B62" s="53">
        <v>98</v>
      </c>
      <c r="C62" s="16">
        <v>587.29700000000003</v>
      </c>
    </row>
    <row r="63" spans="1:3" x14ac:dyDescent="0.25">
      <c r="A63" s="54" t="s">
        <v>48</v>
      </c>
      <c r="B63" s="53">
        <v>88</v>
      </c>
      <c r="C63" s="16">
        <v>2455.3690000000001</v>
      </c>
    </row>
    <row r="64" spans="1:3" x14ac:dyDescent="0.25">
      <c r="A64" s="54" t="s">
        <v>186</v>
      </c>
      <c r="B64" s="53">
        <v>93</v>
      </c>
      <c r="C64" s="16">
        <v>40831.659</v>
      </c>
    </row>
    <row r="65" spans="1:3" x14ac:dyDescent="0.25">
      <c r="A65" s="54" t="s">
        <v>93</v>
      </c>
      <c r="B65" s="53">
        <v>94</v>
      </c>
      <c r="C65" s="16">
        <v>1124.655</v>
      </c>
    </row>
    <row r="66" spans="1:3" x14ac:dyDescent="0.25">
      <c r="A66" s="54" t="s">
        <v>185</v>
      </c>
      <c r="B66" s="53">
        <v>99</v>
      </c>
      <c r="C66" s="16">
        <v>29328.083999999999</v>
      </c>
    </row>
    <row r="67" spans="1:3" x14ac:dyDescent="0.25">
      <c r="A67" s="54" t="s">
        <v>184</v>
      </c>
      <c r="B67" s="53">
        <v>99</v>
      </c>
      <c r="C67" s="16">
        <v>6261.0690000000004</v>
      </c>
    </row>
    <row r="68" spans="1:3" x14ac:dyDescent="0.25">
      <c r="A68" s="54" t="s">
        <v>47</v>
      </c>
      <c r="B68" s="53">
        <v>92</v>
      </c>
      <c r="C68" s="16">
        <v>2688.9360000000001</v>
      </c>
    </row>
    <row r="69" spans="1:3" x14ac:dyDescent="0.25">
      <c r="A69" s="54" t="s">
        <v>92</v>
      </c>
      <c r="B69" s="53">
        <v>57</v>
      </c>
      <c r="C69" s="16">
        <v>451.47</v>
      </c>
    </row>
    <row r="70" spans="1:3" x14ac:dyDescent="0.25">
      <c r="A70" s="54" t="s">
        <v>183</v>
      </c>
      <c r="B70" s="53">
        <v>68</v>
      </c>
      <c r="C70" s="16">
        <v>518.49099999999999</v>
      </c>
    </row>
    <row r="71" spans="1:3" x14ac:dyDescent="0.25">
      <c r="A71" s="54" t="s">
        <v>46</v>
      </c>
      <c r="B71" s="53">
        <v>98</v>
      </c>
      <c r="C71" s="16">
        <v>2629.2759999999998</v>
      </c>
    </row>
    <row r="72" spans="1:3" x14ac:dyDescent="0.25">
      <c r="A72" s="54" t="s">
        <v>90</v>
      </c>
      <c r="B72" s="53">
        <v>59</v>
      </c>
      <c r="C72" s="16">
        <v>668.55899999999997</v>
      </c>
    </row>
    <row r="73" spans="1:3" x14ac:dyDescent="0.25">
      <c r="A73" s="54" t="s">
        <v>45</v>
      </c>
      <c r="B73" s="53">
        <v>98</v>
      </c>
      <c r="C73" s="16">
        <v>1891.57</v>
      </c>
    </row>
    <row r="74" spans="1:3" x14ac:dyDescent="0.25">
      <c r="A74" s="54" t="s">
        <v>182</v>
      </c>
      <c r="B74" s="53">
        <v>99</v>
      </c>
      <c r="C74" s="16">
        <v>12893.958000000001</v>
      </c>
    </row>
    <row r="75" spans="1:3" x14ac:dyDescent="0.25">
      <c r="A75" s="54" t="s">
        <v>181</v>
      </c>
      <c r="B75" s="53">
        <v>96</v>
      </c>
      <c r="C75" s="16">
        <v>37853.417000000001</v>
      </c>
    </row>
    <row r="76" spans="1:3" x14ac:dyDescent="0.25">
      <c r="A76" s="54" t="s">
        <v>44</v>
      </c>
      <c r="B76" s="53">
        <v>66</v>
      </c>
      <c r="C76" s="16">
        <v>1058.2260000000001</v>
      </c>
    </row>
    <row r="77" spans="1:3" x14ac:dyDescent="0.25">
      <c r="A77" s="54" t="s">
        <v>43</v>
      </c>
      <c r="B77" s="53">
        <v>82</v>
      </c>
      <c r="C77" s="16">
        <v>2327.2600000000002</v>
      </c>
    </row>
    <row r="78" spans="1:3" x14ac:dyDescent="0.25">
      <c r="A78" s="54" t="s">
        <v>180</v>
      </c>
      <c r="B78" s="53">
        <v>99</v>
      </c>
      <c r="C78" s="16">
        <v>4334.13</v>
      </c>
    </row>
    <row r="79" spans="1:3" x14ac:dyDescent="0.25">
      <c r="A79" s="54" t="s">
        <v>42</v>
      </c>
      <c r="B79" s="53">
        <v>65</v>
      </c>
      <c r="C79" s="16">
        <v>2087.259</v>
      </c>
    </row>
    <row r="80" spans="1:3" x14ac:dyDescent="0.25">
      <c r="A80" s="54" t="s">
        <v>179</v>
      </c>
      <c r="B80" s="53">
        <v>93</v>
      </c>
      <c r="C80" s="16">
        <v>49863.415000000001</v>
      </c>
    </row>
    <row r="81" spans="1:3" x14ac:dyDescent="0.25">
      <c r="A81" s="54" t="s">
        <v>178</v>
      </c>
      <c r="B81" s="53">
        <v>93</v>
      </c>
      <c r="C81" s="16">
        <v>26874.398000000001</v>
      </c>
    </row>
    <row r="82" spans="1:3" x14ac:dyDescent="0.25">
      <c r="A82" s="54" t="s">
        <v>177</v>
      </c>
      <c r="B82" s="53">
        <v>96</v>
      </c>
      <c r="C82" s="16">
        <v>35250.81</v>
      </c>
    </row>
    <row r="83" spans="1:3" x14ac:dyDescent="0.25">
      <c r="A83" s="54" t="s">
        <v>176</v>
      </c>
      <c r="B83" s="53">
        <v>90</v>
      </c>
      <c r="C83" s="16">
        <v>4562.3389999999999</v>
      </c>
    </row>
    <row r="84" spans="1:3" x14ac:dyDescent="0.25">
      <c r="A84" s="54" t="s">
        <v>175</v>
      </c>
      <c r="B84" s="53">
        <v>98</v>
      </c>
      <c r="C84" s="16">
        <v>39458.716</v>
      </c>
    </row>
    <row r="85" spans="1:3" x14ac:dyDescent="0.25">
      <c r="A85" s="54" t="s">
        <v>41</v>
      </c>
      <c r="B85" s="53">
        <v>98</v>
      </c>
      <c r="C85" s="16">
        <v>4199.4979999999996</v>
      </c>
    </row>
    <row r="86" spans="1:3" x14ac:dyDescent="0.25">
      <c r="A86" s="54" t="s">
        <v>174</v>
      </c>
      <c r="B86" s="53">
        <v>98</v>
      </c>
      <c r="C86" s="16">
        <v>7298.2569999999996</v>
      </c>
    </row>
    <row r="87" spans="1:3" x14ac:dyDescent="0.25">
      <c r="A87" s="54" t="s">
        <v>89</v>
      </c>
      <c r="B87" s="53">
        <v>75</v>
      </c>
      <c r="C87" s="16">
        <v>761.50300000000004</v>
      </c>
    </row>
    <row r="88" spans="1:3" x14ac:dyDescent="0.25">
      <c r="A88" s="54" t="s">
        <v>40</v>
      </c>
      <c r="B88" s="53">
        <v>86</v>
      </c>
      <c r="C88" s="16">
        <v>1285.9749999999999</v>
      </c>
    </row>
    <row r="89" spans="1:3" x14ac:dyDescent="0.25">
      <c r="A89" s="54" t="s">
        <v>173</v>
      </c>
      <c r="B89" s="53">
        <v>98</v>
      </c>
      <c r="C89" s="16">
        <v>30959.821</v>
      </c>
    </row>
    <row r="90" spans="1:3" x14ac:dyDescent="0.25">
      <c r="A90" s="54" t="s">
        <v>172</v>
      </c>
      <c r="B90" s="53">
        <v>95</v>
      </c>
      <c r="C90" s="16">
        <v>880.69200000000001</v>
      </c>
    </row>
    <row r="91" spans="1:3" x14ac:dyDescent="0.25">
      <c r="A91" s="54" t="s">
        <v>171</v>
      </c>
      <c r="B91" s="53">
        <v>57</v>
      </c>
      <c r="C91" s="16">
        <v>885.70600000000002</v>
      </c>
    </row>
    <row r="92" spans="1:3" x14ac:dyDescent="0.25">
      <c r="A92" s="54" t="s">
        <v>170</v>
      </c>
      <c r="B92" s="53">
        <v>95</v>
      </c>
      <c r="C92" s="16">
        <v>11465.611999999999</v>
      </c>
    </row>
    <row r="93" spans="1:3" x14ac:dyDescent="0.25">
      <c r="A93" s="54" t="s">
        <v>169</v>
      </c>
      <c r="B93" s="53">
        <v>74</v>
      </c>
      <c r="C93" s="16">
        <v>9054.1949999999997</v>
      </c>
    </row>
    <row r="94" spans="1:3" x14ac:dyDescent="0.25">
      <c r="A94" s="54" t="s">
        <v>38</v>
      </c>
      <c r="B94" s="53">
        <v>83</v>
      </c>
      <c r="C94" s="16">
        <v>689.21199999999999</v>
      </c>
    </row>
    <row r="95" spans="1:3" x14ac:dyDescent="0.25">
      <c r="A95" s="54" t="s">
        <v>85</v>
      </c>
      <c r="B95" s="53">
        <v>64</v>
      </c>
      <c r="C95" s="16">
        <v>212.69</v>
      </c>
    </row>
    <row r="96" spans="1:3" x14ac:dyDescent="0.25">
      <c r="A96" s="54" t="s">
        <v>168</v>
      </c>
      <c r="B96" s="53">
        <v>98</v>
      </c>
      <c r="C96" s="16">
        <v>9371.3080000000009</v>
      </c>
    </row>
    <row r="97" spans="1:3" x14ac:dyDescent="0.25">
      <c r="A97" s="54" t="s">
        <v>167</v>
      </c>
      <c r="B97" s="53">
        <v>98</v>
      </c>
      <c r="C97" s="16">
        <v>11055.52</v>
      </c>
    </row>
    <row r="98" spans="1:3" x14ac:dyDescent="0.25">
      <c r="A98" s="54" t="s">
        <v>166</v>
      </c>
      <c r="B98" s="53">
        <v>99</v>
      </c>
      <c r="C98" s="16">
        <v>106550.822</v>
      </c>
    </row>
    <row r="99" spans="1:3" x14ac:dyDescent="0.25">
      <c r="A99" s="54" t="s">
        <v>84</v>
      </c>
      <c r="B99" s="53">
        <v>78</v>
      </c>
      <c r="C99" s="16">
        <v>413.875</v>
      </c>
    </row>
    <row r="100" spans="1:3" x14ac:dyDescent="0.25">
      <c r="A100" s="54" t="s">
        <v>83</v>
      </c>
      <c r="B100" s="53">
        <v>93</v>
      </c>
      <c r="C100" s="16">
        <v>309.93200000000002</v>
      </c>
    </row>
    <row r="101" spans="1:3" x14ac:dyDescent="0.25">
      <c r="A101" s="54" t="s">
        <v>165</v>
      </c>
      <c r="B101" s="53">
        <v>95</v>
      </c>
      <c r="C101" s="16">
        <v>6917.1130000000003</v>
      </c>
    </row>
    <row r="102" spans="1:3" x14ac:dyDescent="0.25">
      <c r="A102" s="54" t="s">
        <v>37</v>
      </c>
      <c r="B102" s="53">
        <v>98</v>
      </c>
      <c r="C102" s="16">
        <v>5499.4889999999996</v>
      </c>
    </row>
    <row r="103" spans="1:3" x14ac:dyDescent="0.25">
      <c r="A103" s="54" t="s">
        <v>82</v>
      </c>
      <c r="B103" s="53">
        <v>74</v>
      </c>
      <c r="C103" s="16">
        <v>690.82299999999998</v>
      </c>
    </row>
    <row r="104" spans="1:3" x14ac:dyDescent="0.25">
      <c r="A104" s="54" t="s">
        <v>164</v>
      </c>
      <c r="B104" s="53">
        <v>73</v>
      </c>
      <c r="C104" s="16">
        <v>19576.591</v>
      </c>
    </row>
    <row r="105" spans="1:3" x14ac:dyDescent="0.25">
      <c r="A105" s="54" t="s">
        <v>36</v>
      </c>
      <c r="B105" s="53">
        <v>93</v>
      </c>
      <c r="C105" s="16">
        <v>0</v>
      </c>
    </row>
    <row r="106" spans="1:3" x14ac:dyDescent="0.25">
      <c r="A106" s="54" t="s">
        <v>81</v>
      </c>
      <c r="B106" s="53">
        <v>64</v>
      </c>
      <c r="C106" s="16">
        <v>976.26300000000003</v>
      </c>
    </row>
    <row r="107" spans="1:3" x14ac:dyDescent="0.25">
      <c r="A107" s="54" t="s">
        <v>163</v>
      </c>
      <c r="B107" s="53">
        <v>99</v>
      </c>
      <c r="C107" s="16">
        <v>6951.3220000000001</v>
      </c>
    </row>
    <row r="108" spans="1:3" x14ac:dyDescent="0.25">
      <c r="A108" s="54" t="s">
        <v>162</v>
      </c>
      <c r="B108" s="53">
        <v>89</v>
      </c>
      <c r="C108" s="16">
        <v>8202.7710000000006</v>
      </c>
    </row>
    <row r="109" spans="1:3" x14ac:dyDescent="0.25">
      <c r="A109" s="54" t="s">
        <v>161</v>
      </c>
      <c r="B109" s="53">
        <v>91</v>
      </c>
      <c r="C109" s="16">
        <v>0</v>
      </c>
    </row>
    <row r="110" spans="1:3" x14ac:dyDescent="0.25">
      <c r="A110" s="54" t="s">
        <v>160</v>
      </c>
      <c r="B110" s="53">
        <v>99</v>
      </c>
      <c r="C110" s="16">
        <v>0</v>
      </c>
    </row>
    <row r="111" spans="1:3" x14ac:dyDescent="0.25">
      <c r="A111" s="54" t="s">
        <v>33</v>
      </c>
      <c r="B111" s="53">
        <v>95</v>
      </c>
      <c r="C111" s="16">
        <v>1688.163</v>
      </c>
    </row>
    <row r="112" spans="1:3" x14ac:dyDescent="0.25">
      <c r="A112" s="54" t="s">
        <v>159</v>
      </c>
      <c r="B112" s="53">
        <v>92</v>
      </c>
      <c r="C112" s="16">
        <v>6635</v>
      </c>
    </row>
    <row r="113" spans="1:3" x14ac:dyDescent="0.25">
      <c r="A113" s="54" t="s">
        <v>32</v>
      </c>
      <c r="B113" s="53">
        <v>99</v>
      </c>
      <c r="C113" s="16">
        <v>2899.46</v>
      </c>
    </row>
    <row r="114" spans="1:3" x14ac:dyDescent="0.25">
      <c r="A114" s="54" t="s">
        <v>80</v>
      </c>
      <c r="B114" s="53">
        <v>76</v>
      </c>
      <c r="C114" s="16">
        <v>475.27600000000001</v>
      </c>
    </row>
    <row r="115" spans="1:3" x14ac:dyDescent="0.25">
      <c r="A115" s="54" t="s">
        <v>79</v>
      </c>
      <c r="B115" s="53">
        <v>90</v>
      </c>
      <c r="C115" s="16">
        <v>587.28200000000004</v>
      </c>
    </row>
    <row r="116" spans="1:3" x14ac:dyDescent="0.25">
      <c r="A116" s="54" t="s">
        <v>158</v>
      </c>
      <c r="B116" s="53">
        <v>83</v>
      </c>
      <c r="C116" s="16">
        <v>4477.5889999999999</v>
      </c>
    </row>
    <row r="117" spans="1:3" x14ac:dyDescent="0.25">
      <c r="A117" s="54" t="s">
        <v>78</v>
      </c>
      <c r="B117" s="53">
        <v>82</v>
      </c>
      <c r="C117" s="16">
        <v>461.95100000000002</v>
      </c>
    </row>
    <row r="118" spans="1:3" x14ac:dyDescent="0.25">
      <c r="A118" s="54" t="s">
        <v>156</v>
      </c>
      <c r="B118" s="53">
        <v>97</v>
      </c>
      <c r="C118" s="16">
        <v>48188.413999999997</v>
      </c>
    </row>
    <row r="119" spans="1:3" x14ac:dyDescent="0.25">
      <c r="A119" s="54" t="s">
        <v>155</v>
      </c>
      <c r="B119" s="53">
        <v>92</v>
      </c>
      <c r="C119" s="16">
        <v>27283.507000000001</v>
      </c>
    </row>
    <row r="120" spans="1:3" x14ac:dyDescent="0.25">
      <c r="A120" s="54" t="s">
        <v>31</v>
      </c>
      <c r="B120" s="53">
        <v>98</v>
      </c>
      <c r="C120" s="16">
        <v>1082.114</v>
      </c>
    </row>
    <row r="121" spans="1:3" x14ac:dyDescent="0.25">
      <c r="A121" s="54" t="s">
        <v>77</v>
      </c>
      <c r="B121" s="53">
        <v>70</v>
      </c>
      <c r="C121" s="16">
        <v>371.56700000000001</v>
      </c>
    </row>
    <row r="122" spans="1:3" x14ac:dyDescent="0.25">
      <c r="A122" s="54" t="s">
        <v>110</v>
      </c>
      <c r="B122" s="53">
        <v>42</v>
      </c>
      <c r="C122" s="16">
        <v>1111.7470000000001</v>
      </c>
    </row>
    <row r="123" spans="1:3" x14ac:dyDescent="0.25">
      <c r="A123" s="54" t="s">
        <v>153</v>
      </c>
      <c r="B123" s="53">
        <v>92</v>
      </c>
      <c r="C123" s="16">
        <v>78182.771999999997</v>
      </c>
    </row>
    <row r="124" spans="1:3" x14ac:dyDescent="0.25">
      <c r="A124" s="54" t="s">
        <v>152</v>
      </c>
      <c r="B124" s="53">
        <v>98</v>
      </c>
      <c r="C124" s="16">
        <v>16255.177</v>
      </c>
    </row>
    <row r="125" spans="1:3" x14ac:dyDescent="0.25">
      <c r="A125" s="54" t="s">
        <v>151</v>
      </c>
      <c r="B125" s="53">
        <v>85</v>
      </c>
      <c r="C125" s="16">
        <v>989.25300000000004</v>
      </c>
    </row>
    <row r="126" spans="1:3" x14ac:dyDescent="0.25">
      <c r="A126" s="54" t="s">
        <v>149</v>
      </c>
      <c r="B126" s="53">
        <v>84</v>
      </c>
      <c r="C126" s="16">
        <v>6950.549</v>
      </c>
    </row>
    <row r="127" spans="1:3" x14ac:dyDescent="0.25">
      <c r="A127" s="54" t="s">
        <v>109</v>
      </c>
      <c r="B127" s="53">
        <v>64</v>
      </c>
      <c r="C127" s="16">
        <v>1271.616</v>
      </c>
    </row>
    <row r="128" spans="1:3" x14ac:dyDescent="0.25">
      <c r="A128" s="54" t="s">
        <v>27</v>
      </c>
      <c r="B128" s="53">
        <v>92</v>
      </c>
      <c r="C128" s="16">
        <v>2264.8890000000001</v>
      </c>
    </row>
    <row r="129" spans="1:3" x14ac:dyDescent="0.25">
      <c r="A129" s="54" t="s">
        <v>148</v>
      </c>
      <c r="B129" s="53">
        <v>93</v>
      </c>
      <c r="C129" s="16">
        <v>4363.4229999999998</v>
      </c>
    </row>
    <row r="130" spans="1:3" x14ac:dyDescent="0.25">
      <c r="A130" s="54" t="s">
        <v>26</v>
      </c>
      <c r="B130" s="53">
        <v>87</v>
      </c>
      <c r="C130" s="16">
        <v>1747.8230000000001</v>
      </c>
    </row>
    <row r="131" spans="1:3" x14ac:dyDescent="0.25">
      <c r="A131" s="54" t="s">
        <v>147</v>
      </c>
      <c r="B131" s="53">
        <v>99</v>
      </c>
      <c r="C131" s="16">
        <v>11298.879000000001</v>
      </c>
    </row>
    <row r="132" spans="1:3" x14ac:dyDescent="0.25">
      <c r="A132" s="54" t="s">
        <v>146</v>
      </c>
      <c r="B132" s="53">
        <v>96</v>
      </c>
      <c r="C132" s="16">
        <v>22027.594000000001</v>
      </c>
    </row>
    <row r="133" spans="1:3" x14ac:dyDescent="0.25">
      <c r="A133" s="54" t="s">
        <v>145</v>
      </c>
      <c r="B133" s="53">
        <v>99</v>
      </c>
      <c r="C133" s="16">
        <v>59989.82</v>
      </c>
    </row>
    <row r="134" spans="1:3" x14ac:dyDescent="0.25">
      <c r="A134" s="54" t="s">
        <v>144</v>
      </c>
      <c r="B134" s="53">
        <v>94</v>
      </c>
      <c r="C134" s="16">
        <v>17074.474999999999</v>
      </c>
    </row>
    <row r="135" spans="1:3" x14ac:dyDescent="0.25">
      <c r="A135" s="54" t="s">
        <v>143</v>
      </c>
      <c r="B135" s="53">
        <v>85</v>
      </c>
      <c r="C135" s="16">
        <v>1524.232</v>
      </c>
    </row>
    <row r="136" spans="1:3" x14ac:dyDescent="0.25">
      <c r="A136" s="54" t="s">
        <v>142</v>
      </c>
      <c r="B136" s="53">
        <v>97</v>
      </c>
      <c r="C136" s="16">
        <v>7609.6030000000001</v>
      </c>
    </row>
    <row r="137" spans="1:3" x14ac:dyDescent="0.25">
      <c r="A137" s="54" t="s">
        <v>141</v>
      </c>
      <c r="B137" s="53">
        <v>98</v>
      </c>
      <c r="C137" s="16">
        <v>8614.0259999999998</v>
      </c>
    </row>
    <row r="138" spans="1:3" x14ac:dyDescent="0.25">
      <c r="A138" s="54" t="s">
        <v>76</v>
      </c>
      <c r="B138" s="53">
        <v>97</v>
      </c>
      <c r="C138" s="16">
        <v>532.64099999999996</v>
      </c>
    </row>
    <row r="139" spans="1:3" x14ac:dyDescent="0.25">
      <c r="A139" s="54" t="s">
        <v>140</v>
      </c>
      <c r="B139" s="53">
        <v>99</v>
      </c>
      <c r="C139" s="16">
        <v>9740.0149999999994</v>
      </c>
    </row>
    <row r="140" spans="1:3" x14ac:dyDescent="0.25">
      <c r="A140" s="54" t="s">
        <v>139</v>
      </c>
      <c r="B140" s="53">
        <v>95</v>
      </c>
      <c r="C140" s="16">
        <v>5589.0709999999999</v>
      </c>
    </row>
    <row r="141" spans="1:3" x14ac:dyDescent="0.25">
      <c r="A141" s="54" t="s">
        <v>138</v>
      </c>
      <c r="B141" s="53">
        <v>99</v>
      </c>
      <c r="C141" s="16">
        <v>5289.3819999999996</v>
      </c>
    </row>
    <row r="142" spans="1:3" x14ac:dyDescent="0.25">
      <c r="A142" s="54" t="s">
        <v>108</v>
      </c>
      <c r="B142" s="53">
        <v>98</v>
      </c>
      <c r="C142" s="16">
        <v>1157.0830000000001</v>
      </c>
    </row>
    <row r="143" spans="1:3" x14ac:dyDescent="0.25">
      <c r="A143" s="54" t="s">
        <v>136</v>
      </c>
      <c r="B143" s="53">
        <v>98</v>
      </c>
      <c r="C143" s="16">
        <v>14744.609</v>
      </c>
    </row>
    <row r="144" spans="1:3" x14ac:dyDescent="0.25">
      <c r="A144" s="54" t="s">
        <v>23</v>
      </c>
      <c r="B144" s="53">
        <v>86</v>
      </c>
      <c r="C144" s="16">
        <v>997.60799999999995</v>
      </c>
    </row>
    <row r="145" spans="1:4" x14ac:dyDescent="0.25">
      <c r="A145" s="54" t="s">
        <v>135</v>
      </c>
      <c r="B145" s="53">
        <v>95</v>
      </c>
      <c r="C145" s="16">
        <v>5642.1350000000002</v>
      </c>
    </row>
    <row r="146" spans="1:4" x14ac:dyDescent="0.25">
      <c r="A146" s="54" t="s">
        <v>134</v>
      </c>
      <c r="B146" s="53">
        <v>99</v>
      </c>
      <c r="C146" s="16">
        <v>9052.9920000000002</v>
      </c>
    </row>
    <row r="147" spans="1:4" x14ac:dyDescent="0.25">
      <c r="A147" s="54" t="s">
        <v>75</v>
      </c>
      <c r="B147" s="53">
        <v>75</v>
      </c>
      <c r="C147" s="16">
        <v>325.66300000000001</v>
      </c>
    </row>
    <row r="148" spans="1:4" x14ac:dyDescent="0.25">
      <c r="A148" s="54" t="s">
        <v>133</v>
      </c>
      <c r="B148" s="53">
        <v>97</v>
      </c>
      <c r="C148" s="16">
        <v>36112.449999999997</v>
      </c>
    </row>
    <row r="149" spans="1:4" x14ac:dyDescent="0.25">
      <c r="A149" s="54" t="s">
        <v>132</v>
      </c>
      <c r="B149" s="53">
        <v>99</v>
      </c>
      <c r="C149" s="16">
        <v>16187.482</v>
      </c>
    </row>
    <row r="150" spans="1:4" x14ac:dyDescent="0.25">
      <c r="A150" s="54" t="s">
        <v>131</v>
      </c>
      <c r="B150" s="53">
        <v>96</v>
      </c>
      <c r="C150" s="16">
        <v>24450.31</v>
      </c>
    </row>
    <row r="151" spans="1:4" x14ac:dyDescent="0.25">
      <c r="A151" s="54" t="s">
        <v>74</v>
      </c>
      <c r="B151" s="53">
        <v>81</v>
      </c>
      <c r="C151" s="16">
        <v>1278.6869999999999</v>
      </c>
    </row>
    <row r="152" spans="1:4" x14ac:dyDescent="0.25">
      <c r="A152" s="54" t="s">
        <v>129</v>
      </c>
      <c r="B152" s="53">
        <v>69</v>
      </c>
      <c r="C152" s="16">
        <v>5757.8429999999998</v>
      </c>
      <c r="D152" s="56"/>
    </row>
    <row r="153" spans="1:4" x14ac:dyDescent="0.25">
      <c r="A153" s="54" t="s">
        <v>128</v>
      </c>
      <c r="B153" s="53">
        <v>96</v>
      </c>
      <c r="C153" s="16">
        <v>32030.269</v>
      </c>
    </row>
    <row r="154" spans="1:4" x14ac:dyDescent="0.25">
      <c r="A154" s="54" t="s">
        <v>22</v>
      </c>
      <c r="B154" s="53">
        <v>97</v>
      </c>
      <c r="C154" s="16">
        <v>2073.79</v>
      </c>
    </row>
    <row r="155" spans="1:4" x14ac:dyDescent="0.25">
      <c r="A155" s="54" t="s">
        <v>21</v>
      </c>
      <c r="B155" s="53">
        <v>84</v>
      </c>
      <c r="C155" s="16">
        <v>1426.5340000000001</v>
      </c>
    </row>
    <row r="156" spans="1:4" x14ac:dyDescent="0.25">
      <c r="A156" s="54" t="s">
        <v>127</v>
      </c>
      <c r="B156" s="53">
        <v>87</v>
      </c>
      <c r="C156" s="16">
        <v>6231.2460000000001</v>
      </c>
    </row>
    <row r="157" spans="1:4" x14ac:dyDescent="0.25">
      <c r="A157" s="54" t="s">
        <v>20</v>
      </c>
      <c r="B157" s="53">
        <v>95</v>
      </c>
      <c r="C157" s="16">
        <v>2541.86</v>
      </c>
    </row>
    <row r="158" spans="1:4" x14ac:dyDescent="0.25">
      <c r="A158" s="54" t="s">
        <v>126</v>
      </c>
      <c r="B158" s="53">
        <v>98</v>
      </c>
      <c r="C158" s="16">
        <v>43403.915999999997</v>
      </c>
    </row>
    <row r="159" spans="1:4" x14ac:dyDescent="0.25">
      <c r="A159" s="54" t="s">
        <v>125</v>
      </c>
      <c r="B159" s="53">
        <v>95</v>
      </c>
      <c r="C159" s="16">
        <v>63535.942000000003</v>
      </c>
    </row>
    <row r="160" spans="1:4" x14ac:dyDescent="0.25">
      <c r="A160" s="54" t="s">
        <v>19</v>
      </c>
      <c r="B160" s="53">
        <v>80</v>
      </c>
      <c r="C160" s="16">
        <v>2678.4140000000002</v>
      </c>
    </row>
    <row r="161" spans="1:3" x14ac:dyDescent="0.25">
      <c r="A161" s="54" t="s">
        <v>72</v>
      </c>
      <c r="B161" s="53">
        <v>93</v>
      </c>
      <c r="C161" s="16">
        <v>666.97</v>
      </c>
    </row>
    <row r="162" spans="1:3" x14ac:dyDescent="0.25">
      <c r="A162" s="54" t="s">
        <v>18</v>
      </c>
      <c r="B162" s="53">
        <v>99</v>
      </c>
      <c r="C162" s="16">
        <v>4151.2979999999998</v>
      </c>
    </row>
    <row r="163" spans="1:3" x14ac:dyDescent="0.25">
      <c r="A163" s="54" t="s">
        <v>124</v>
      </c>
      <c r="B163" s="53">
        <v>96</v>
      </c>
      <c r="C163" s="16">
        <v>4515</v>
      </c>
    </row>
    <row r="164" spans="1:3" x14ac:dyDescent="0.25">
      <c r="A164" s="54" t="s">
        <v>17</v>
      </c>
      <c r="B164" s="53">
        <v>72</v>
      </c>
      <c r="C164" s="16">
        <v>533.54</v>
      </c>
    </row>
    <row r="165" spans="1:3" x14ac:dyDescent="0.25">
      <c r="A165" s="54" t="s">
        <v>70</v>
      </c>
      <c r="B165" s="53">
        <v>89</v>
      </c>
      <c r="C165" s="16">
        <v>466.33699999999999</v>
      </c>
    </row>
    <row r="166" spans="1:3" x14ac:dyDescent="0.25">
      <c r="A166" s="54" t="s">
        <v>16</v>
      </c>
      <c r="B166" s="53">
        <v>99</v>
      </c>
      <c r="C166" s="16">
        <v>3260.7020000000002</v>
      </c>
    </row>
    <row r="167" spans="1:3" x14ac:dyDescent="0.25">
      <c r="A167" s="54" t="s">
        <v>123</v>
      </c>
      <c r="B167" s="53">
        <v>90</v>
      </c>
      <c r="C167" s="16">
        <v>21239</v>
      </c>
    </row>
    <row r="168" spans="1:3" x14ac:dyDescent="0.25">
      <c r="A168" s="54" t="s">
        <v>15</v>
      </c>
      <c r="B168" s="53">
        <v>99</v>
      </c>
      <c r="C168" s="16">
        <v>4170.9319999999998</v>
      </c>
    </row>
    <row r="169" spans="1:3" x14ac:dyDescent="0.25">
      <c r="A169" s="54" t="s">
        <v>122</v>
      </c>
      <c r="B169" s="53">
        <v>96</v>
      </c>
      <c r="C169" s="16">
        <v>8711.1610000000001</v>
      </c>
    </row>
    <row r="170" spans="1:3" x14ac:dyDescent="0.25">
      <c r="A170" s="54" t="s">
        <v>121</v>
      </c>
      <c r="B170" s="53">
        <v>96</v>
      </c>
      <c r="C170" s="16">
        <v>3451.4839999999999</v>
      </c>
    </row>
    <row r="171" spans="1:3" x14ac:dyDescent="0.25">
      <c r="A171" s="54" t="s">
        <v>12</v>
      </c>
      <c r="B171" s="53">
        <v>89</v>
      </c>
      <c r="C171" s="16">
        <v>3600</v>
      </c>
    </row>
    <row r="172" spans="1:3" x14ac:dyDescent="0.25">
      <c r="A172" s="54" t="s">
        <v>69</v>
      </c>
      <c r="B172" s="53">
        <v>64</v>
      </c>
      <c r="C172" s="16">
        <v>481.86399999999998</v>
      </c>
    </row>
    <row r="173" spans="1:3" x14ac:dyDescent="0.25">
      <c r="A173" s="54" t="s">
        <v>11</v>
      </c>
      <c r="B173" s="53">
        <v>90</v>
      </c>
      <c r="C173" s="16">
        <v>2568.6529999999998</v>
      </c>
    </row>
    <row r="174" spans="1:3" x14ac:dyDescent="0.25">
      <c r="A174" s="54" t="s">
        <v>120</v>
      </c>
      <c r="B174" s="53">
        <v>92</v>
      </c>
      <c r="C174" s="16">
        <v>55081.046999999999</v>
      </c>
    </row>
    <row r="175" spans="1:3" x14ac:dyDescent="0.25">
      <c r="A175" s="54" t="s">
        <v>119</v>
      </c>
      <c r="B175" s="53">
        <v>93</v>
      </c>
      <c r="C175" s="16">
        <v>35315.269999999997</v>
      </c>
    </row>
    <row r="176" spans="1:3" x14ac:dyDescent="0.25">
      <c r="A176" s="54" t="s">
        <v>118</v>
      </c>
      <c r="B176" s="53">
        <v>85</v>
      </c>
      <c r="C176" s="16">
        <v>516.95500000000004</v>
      </c>
    </row>
    <row r="177" spans="1:3" x14ac:dyDescent="0.25">
      <c r="A177" s="54" t="s">
        <v>117</v>
      </c>
      <c r="B177" s="53">
        <v>95</v>
      </c>
      <c r="C177" s="16">
        <v>45934.468999999997</v>
      </c>
    </row>
    <row r="178" spans="1:3" x14ac:dyDescent="0.25">
      <c r="A178" s="54" t="s">
        <v>116</v>
      </c>
      <c r="B178" s="53">
        <v>95</v>
      </c>
      <c r="C178" s="16">
        <v>9364.1190000000006</v>
      </c>
    </row>
    <row r="179" spans="1:3" x14ac:dyDescent="0.25">
      <c r="A179" s="54" t="s">
        <v>9</v>
      </c>
      <c r="B179" s="53">
        <v>98</v>
      </c>
      <c r="C179" s="16">
        <v>1198.8240000000001</v>
      </c>
    </row>
    <row r="180" spans="1:3" x14ac:dyDescent="0.25">
      <c r="A180" s="54" t="s">
        <v>8</v>
      </c>
      <c r="B180" s="53">
        <v>68</v>
      </c>
      <c r="C180" s="16">
        <v>2522.998</v>
      </c>
    </row>
    <row r="181" spans="1:3" x14ac:dyDescent="0.25">
      <c r="A181" s="54" t="s">
        <v>115</v>
      </c>
      <c r="B181" s="53">
        <v>83</v>
      </c>
      <c r="C181" s="16">
        <v>11382.960999999999</v>
      </c>
    </row>
    <row r="182" spans="1:3" x14ac:dyDescent="0.25">
      <c r="A182" s="54" t="s">
        <v>114</v>
      </c>
      <c r="B182" s="53">
        <v>96</v>
      </c>
      <c r="C182" s="16">
        <v>1068.317</v>
      </c>
    </row>
    <row r="183" spans="1:3" x14ac:dyDescent="0.25">
      <c r="A183" s="54" t="s">
        <v>107</v>
      </c>
      <c r="B183" s="53">
        <v>66</v>
      </c>
      <c r="C183" s="16">
        <v>1060.962</v>
      </c>
    </row>
    <row r="184" spans="1:3" x14ac:dyDescent="0.25">
      <c r="A184" s="54" t="s">
        <v>68</v>
      </c>
      <c r="B184" s="53">
        <v>81</v>
      </c>
      <c r="C184" s="16">
        <v>989.952</v>
      </c>
    </row>
    <row r="185" spans="1:3" x14ac:dyDescent="0.25">
      <c r="A185" s="54" t="s">
        <v>67</v>
      </c>
      <c r="B185" s="53">
        <v>73</v>
      </c>
      <c r="C185" s="16">
        <v>464.101</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G182"/>
  <sheetViews>
    <sheetView workbookViewId="0">
      <selection activeCell="B3" sqref="B3"/>
    </sheetView>
  </sheetViews>
  <sheetFormatPr defaultRowHeight="15" x14ac:dyDescent="0.25"/>
  <cols>
    <col min="1" max="1" width="40.5703125" style="67" bestFit="1" customWidth="1"/>
    <col min="2" max="2" width="9.7109375" style="67" bestFit="1" customWidth="1"/>
    <col min="3" max="3" width="7" style="67" bestFit="1" customWidth="1"/>
    <col min="4" max="4" width="9.140625" style="67"/>
    <col min="5" max="5" width="8.42578125" style="67" bestFit="1" customWidth="1"/>
    <col min="6" max="6" width="9.5703125" style="67" bestFit="1" customWidth="1"/>
    <col min="7" max="7" width="20.42578125" style="67" bestFit="1" customWidth="1"/>
  </cols>
  <sheetData>
    <row r="1" spans="1:7" x14ac:dyDescent="0.25">
      <c r="A1" s="122" t="s">
        <v>846</v>
      </c>
      <c r="B1" s="122" t="s">
        <v>847</v>
      </c>
      <c r="C1" s="122" t="s">
        <v>848</v>
      </c>
      <c r="D1" s="122" t="s">
        <v>663</v>
      </c>
      <c r="E1" s="122" t="s">
        <v>640</v>
      </c>
      <c r="F1" s="122" t="s">
        <v>849</v>
      </c>
      <c r="G1" s="122" t="s">
        <v>654</v>
      </c>
    </row>
    <row r="2" spans="1:7" x14ac:dyDescent="0.25">
      <c r="A2" s="123" t="s">
        <v>106</v>
      </c>
      <c r="B2" s="124">
        <v>18437.125</v>
      </c>
      <c r="C2" s="124">
        <v>275.16850781250002</v>
      </c>
      <c r="D2" s="124">
        <v>0.22418104171752928</v>
      </c>
      <c r="E2" s="124">
        <v>11.34074169921875</v>
      </c>
      <c r="F2" s="125">
        <v>381.008671875</v>
      </c>
      <c r="G2" s="126" t="s">
        <v>353</v>
      </c>
    </row>
    <row r="3" spans="1:7" x14ac:dyDescent="0.25">
      <c r="A3" s="123" t="s">
        <v>232</v>
      </c>
      <c r="B3" s="124">
        <v>499.02640624999998</v>
      </c>
      <c r="C3" s="124">
        <v>1.7696212463378906</v>
      </c>
      <c r="D3" s="124">
        <v>0.22680249607563019</v>
      </c>
      <c r="E3" s="124">
        <v>4.6816301345825196E-3</v>
      </c>
      <c r="F3" s="125">
        <v>0.35442218017578125</v>
      </c>
      <c r="G3" s="126" t="s">
        <v>361</v>
      </c>
    </row>
    <row r="4" spans="1:7" x14ac:dyDescent="0.25">
      <c r="A4" s="123" t="s">
        <v>231</v>
      </c>
      <c r="B4" s="124">
        <v>5215.3940000000002</v>
      </c>
      <c r="C4" s="124">
        <v>20.64752294921875</v>
      </c>
      <c r="D4" s="124">
        <v>19.74558984375</v>
      </c>
      <c r="E4" s="124">
        <v>4.2126184082031246</v>
      </c>
      <c r="F4" s="125">
        <v>37.973990234375002</v>
      </c>
      <c r="G4" s="126" t="s">
        <v>361</v>
      </c>
    </row>
    <row r="5" spans="1:7" x14ac:dyDescent="0.25">
      <c r="A5" s="123" t="s">
        <v>230</v>
      </c>
      <c r="B5" s="124">
        <v>8.5668173828125003</v>
      </c>
      <c r="C5" s="124">
        <v>9.4738874435424808E-3</v>
      </c>
      <c r="D5" s="124">
        <v>9.9220739364624028E-2</v>
      </c>
      <c r="E5" s="124">
        <v>4.1674210224300627E-6</v>
      </c>
      <c r="F5" s="125">
        <v>1.0452423691749574E-3</v>
      </c>
      <c r="G5" s="126" t="s">
        <v>366</v>
      </c>
    </row>
    <row r="6" spans="1:7" x14ac:dyDescent="0.25">
      <c r="A6" s="123" t="s">
        <v>62</v>
      </c>
      <c r="B6" s="124">
        <v>12469.907999999999</v>
      </c>
      <c r="C6" s="124">
        <v>117.0421875</v>
      </c>
      <c r="D6" s="124">
        <v>308.30812500000002</v>
      </c>
      <c r="E6" s="124">
        <v>32.502225585937502</v>
      </c>
      <c r="F6" s="125">
        <v>235.68417968750001</v>
      </c>
      <c r="G6" s="126" t="s">
        <v>356</v>
      </c>
    </row>
    <row r="7" spans="1:7" x14ac:dyDescent="0.25">
      <c r="A7" s="123" t="s">
        <v>228</v>
      </c>
      <c r="B7" s="124">
        <v>5985.4522500000003</v>
      </c>
      <c r="C7" s="124">
        <v>16.016590820312501</v>
      </c>
      <c r="D7" s="124">
        <v>62.560324218749997</v>
      </c>
      <c r="E7" s="124">
        <v>9.0335239656269556E-6</v>
      </c>
      <c r="F7" s="125">
        <v>2.522134033203125</v>
      </c>
      <c r="G7" s="126" t="s">
        <v>361</v>
      </c>
    </row>
    <row r="8" spans="1:7" x14ac:dyDescent="0.25">
      <c r="A8" s="123" t="s">
        <v>61</v>
      </c>
      <c r="B8" s="124">
        <v>570.29278124999996</v>
      </c>
      <c r="C8" s="124">
        <v>7.4410507812500004</v>
      </c>
      <c r="D8" s="124">
        <v>2.1904331970214845</v>
      </c>
      <c r="E8" s="124">
        <v>0.11309019470214844</v>
      </c>
      <c r="F8" s="125">
        <v>0.3076312561035156</v>
      </c>
      <c r="G8" s="126" t="s">
        <v>356</v>
      </c>
    </row>
    <row r="9" spans="1:7" x14ac:dyDescent="0.25">
      <c r="A9" s="123" t="s">
        <v>227</v>
      </c>
      <c r="B9" s="124">
        <v>2223.004625</v>
      </c>
      <c r="C9" s="124">
        <v>0.51167062377929684</v>
      </c>
      <c r="D9" s="124">
        <v>4.5123222045898439</v>
      </c>
      <c r="E9" s="124">
        <v>1.9788326323032378E-4</v>
      </c>
      <c r="F9" s="125">
        <v>0.75260153198242186</v>
      </c>
      <c r="G9" s="126" t="s">
        <v>366</v>
      </c>
    </row>
    <row r="10" spans="1:7" x14ac:dyDescent="0.25">
      <c r="A10" s="123" t="s">
        <v>226</v>
      </c>
      <c r="B10" s="124">
        <v>996.08921874999999</v>
      </c>
      <c r="C10" s="124">
        <v>0.63356874084472659</v>
      </c>
      <c r="D10" s="124">
        <v>2.4979455566406248</v>
      </c>
      <c r="E10" s="124">
        <v>5.3201101303100587E-2</v>
      </c>
      <c r="F10" s="125">
        <v>0.44927003479003907</v>
      </c>
      <c r="G10" s="126" t="s">
        <v>366</v>
      </c>
    </row>
    <row r="11" spans="1:7" x14ac:dyDescent="0.25">
      <c r="A11" s="123" t="s">
        <v>224</v>
      </c>
      <c r="B11" s="124">
        <v>1573.5900624999999</v>
      </c>
      <c r="C11" s="124">
        <v>20.910330566406252</v>
      </c>
      <c r="D11" s="124">
        <v>3.1389624023437501</v>
      </c>
      <c r="E11" s="124">
        <v>0.12070726776123047</v>
      </c>
      <c r="F11" s="125">
        <v>0.92985079956054684</v>
      </c>
      <c r="G11" s="126" t="s">
        <v>361</v>
      </c>
    </row>
    <row r="12" spans="1:7" x14ac:dyDescent="0.25">
      <c r="A12" s="123" t="s">
        <v>223</v>
      </c>
      <c r="B12" s="124">
        <v>59.477425781249998</v>
      </c>
      <c r="C12" s="124">
        <v>0.30161280822753905</v>
      </c>
      <c r="D12" s="124">
        <v>4.8319099121093751</v>
      </c>
      <c r="E12" s="124">
        <v>0</v>
      </c>
      <c r="F12" s="125">
        <v>1.7958500862121581E-2</v>
      </c>
      <c r="G12" s="126" t="s">
        <v>366</v>
      </c>
    </row>
    <row r="13" spans="1:7" x14ac:dyDescent="0.25">
      <c r="A13" s="123" t="s">
        <v>222</v>
      </c>
      <c r="B13" s="124">
        <v>85.331382812499996</v>
      </c>
      <c r="C13" s="124">
        <v>0.37397463226318362</v>
      </c>
      <c r="D13" s="124">
        <v>0.73555139160156247</v>
      </c>
      <c r="E13" s="124">
        <v>9.0560820698738103E-4</v>
      </c>
      <c r="F13" s="125">
        <v>6.819281768798828E-2</v>
      </c>
      <c r="G13" s="126" t="s">
        <v>366</v>
      </c>
    </row>
    <row r="14" spans="1:7" x14ac:dyDescent="0.25">
      <c r="A14" s="123" t="s">
        <v>105</v>
      </c>
      <c r="B14" s="124">
        <v>39993.125999999997</v>
      </c>
      <c r="C14" s="124">
        <v>1721.5969375</v>
      </c>
      <c r="D14" s="124">
        <v>7.8185889282226562</v>
      </c>
      <c r="E14" s="124">
        <v>522.66637500000002</v>
      </c>
      <c r="F14" s="125">
        <v>823.55640625000001</v>
      </c>
      <c r="G14" s="126" t="s">
        <v>353</v>
      </c>
    </row>
    <row r="15" spans="1:7" x14ac:dyDescent="0.25">
      <c r="A15" s="123" t="s">
        <v>221</v>
      </c>
      <c r="B15" s="124">
        <v>47.710662109375001</v>
      </c>
      <c r="C15" s="124">
        <v>1.0377955436706544E-2</v>
      </c>
      <c r="D15" s="124">
        <v>2.1165369262695313</v>
      </c>
      <c r="E15" s="124">
        <v>2.8519509942270814E-7</v>
      </c>
      <c r="F15" s="125">
        <v>1.6694464206695556E-2</v>
      </c>
      <c r="G15" s="126" t="s">
        <v>366</v>
      </c>
    </row>
    <row r="16" spans="1:7" x14ac:dyDescent="0.25">
      <c r="A16" s="123" t="s">
        <v>220</v>
      </c>
      <c r="B16" s="124">
        <v>2173.9759374999999</v>
      </c>
      <c r="C16" s="124">
        <v>24.17681689453125</v>
      </c>
      <c r="D16" s="124">
        <v>21.133764648437499</v>
      </c>
      <c r="E16" s="124">
        <v>0</v>
      </c>
      <c r="F16" s="125">
        <v>0.7198156127929688</v>
      </c>
      <c r="G16" s="126" t="s">
        <v>361</v>
      </c>
    </row>
    <row r="17" spans="1:7" x14ac:dyDescent="0.25">
      <c r="A17" s="123" t="s">
        <v>219</v>
      </c>
      <c r="B17" s="124">
        <v>1341.3479374999999</v>
      </c>
      <c r="C17" s="124">
        <v>1.0694690551757813</v>
      </c>
      <c r="D17" s="124">
        <v>2.3936561889648438</v>
      </c>
      <c r="E17" s="124">
        <v>1.4025365829467774E-2</v>
      </c>
      <c r="F17" s="125">
        <v>0.42611791992187498</v>
      </c>
      <c r="G17" s="126" t="s">
        <v>366</v>
      </c>
    </row>
    <row r="18" spans="1:7" x14ac:dyDescent="0.25">
      <c r="A18" s="123" t="s">
        <v>218</v>
      </c>
      <c r="B18" s="124">
        <v>53.993978515625003</v>
      </c>
      <c r="C18" s="124">
        <v>0.29998615264892581</v>
      </c>
      <c r="D18" s="124">
        <v>2.1226251831054688</v>
      </c>
      <c r="E18" s="124">
        <v>2.3974547366378828E-7</v>
      </c>
      <c r="F18" s="125">
        <v>1.2096982479095459E-2</v>
      </c>
      <c r="G18" s="126" t="s">
        <v>356</v>
      </c>
    </row>
    <row r="19" spans="1:7" x14ac:dyDescent="0.25">
      <c r="A19" s="123" t="s">
        <v>104</v>
      </c>
      <c r="B19" s="124">
        <v>3530.51</v>
      </c>
      <c r="C19" s="124">
        <v>32.610009765625001</v>
      </c>
      <c r="D19" s="124">
        <v>105.44081250000001</v>
      </c>
      <c r="E19" s="124">
        <v>16.808600585937501</v>
      </c>
      <c r="F19" s="125">
        <v>35.206167968750002</v>
      </c>
      <c r="G19" s="126" t="s">
        <v>353</v>
      </c>
    </row>
    <row r="20" spans="1:7" x14ac:dyDescent="0.25">
      <c r="A20" s="123" t="s">
        <v>59</v>
      </c>
      <c r="B20" s="124">
        <v>149.015046875</v>
      </c>
      <c r="C20" s="124">
        <v>3.0654530029296874</v>
      </c>
      <c r="D20" s="124">
        <v>6.0604818344116212E-2</v>
      </c>
      <c r="E20" s="124">
        <v>0.98959606933593747</v>
      </c>
      <c r="F20" s="125">
        <v>3.1051019287109374</v>
      </c>
      <c r="G20" s="126" t="s">
        <v>356</v>
      </c>
    </row>
    <row r="21" spans="1:7" x14ac:dyDescent="0.25">
      <c r="A21" s="123" t="s">
        <v>58</v>
      </c>
      <c r="B21" s="124">
        <v>2301.2600000000002</v>
      </c>
      <c r="C21" s="124">
        <v>62.47352734375</v>
      </c>
      <c r="D21" s="124">
        <v>11.652172363281251</v>
      </c>
      <c r="E21" s="124">
        <v>0</v>
      </c>
      <c r="F21" s="125">
        <v>14.33334814453125</v>
      </c>
      <c r="G21" s="126" t="s">
        <v>356</v>
      </c>
    </row>
    <row r="22" spans="1:7" x14ac:dyDescent="0.25">
      <c r="A22" s="123" t="s">
        <v>216</v>
      </c>
      <c r="B22" s="124">
        <v>627.95359374999998</v>
      </c>
      <c r="C22" s="124">
        <v>3.8794519042968751</v>
      </c>
      <c r="D22" s="124">
        <v>0.36398936271667481</v>
      </c>
      <c r="E22" s="124">
        <v>1.878994032740593E-4</v>
      </c>
      <c r="F22" s="125">
        <v>0.22124397277832031</v>
      </c>
      <c r="G22" s="126" t="s">
        <v>361</v>
      </c>
    </row>
    <row r="23" spans="1:7" x14ac:dyDescent="0.25">
      <c r="A23" s="123" t="s">
        <v>215</v>
      </c>
      <c r="B23" s="124">
        <v>893.87209374999998</v>
      </c>
      <c r="C23" s="124">
        <v>16.855457031250001</v>
      </c>
      <c r="D23" s="124">
        <v>451.41114062499997</v>
      </c>
      <c r="E23" s="124">
        <v>2.6466959953308104E-2</v>
      </c>
      <c r="F23" s="125">
        <v>1.0159738464355468</v>
      </c>
      <c r="G23" s="126" t="s">
        <v>361</v>
      </c>
    </row>
    <row r="24" spans="1:7" x14ac:dyDescent="0.25">
      <c r="A24" s="123" t="s">
        <v>213</v>
      </c>
      <c r="B24" s="124">
        <v>35896.046000000002</v>
      </c>
      <c r="C24" s="124">
        <v>260.85424999999998</v>
      </c>
      <c r="D24" s="124">
        <v>485.19037500000002</v>
      </c>
      <c r="E24" s="124">
        <v>3.2206883206963542E-2</v>
      </c>
      <c r="F24" s="125">
        <v>24.959919921874999</v>
      </c>
      <c r="G24" s="126" t="s">
        <v>361</v>
      </c>
    </row>
    <row r="25" spans="1:7" x14ac:dyDescent="0.25">
      <c r="A25" s="123" t="s">
        <v>212</v>
      </c>
      <c r="B25" s="124">
        <v>41.511806640624997</v>
      </c>
      <c r="C25" s="124">
        <v>0.32341655731201174</v>
      </c>
      <c r="D25" s="124">
        <v>0.31154148101806639</v>
      </c>
      <c r="E25" s="124">
        <v>2.0127404212951661E-2</v>
      </c>
      <c r="F25" s="125">
        <v>7.8986804962158208E-2</v>
      </c>
      <c r="G25" s="126" t="s">
        <v>366</v>
      </c>
    </row>
    <row r="26" spans="1:7" x14ac:dyDescent="0.25">
      <c r="A26" s="123" t="s">
        <v>211</v>
      </c>
      <c r="B26" s="124">
        <v>1426.1166874999999</v>
      </c>
      <c r="C26" s="124">
        <v>4.6305134277343747</v>
      </c>
      <c r="D26" s="124">
        <v>0.61466966247558597</v>
      </c>
      <c r="E26" s="124">
        <v>2.1764837205410003E-5</v>
      </c>
      <c r="F26" s="125">
        <v>0.24158842468261718</v>
      </c>
      <c r="G26" s="126" t="s">
        <v>361</v>
      </c>
    </row>
    <row r="27" spans="1:7" x14ac:dyDescent="0.25">
      <c r="A27" s="123" t="s">
        <v>103</v>
      </c>
      <c r="B27" s="124">
        <v>7402.2034999999996</v>
      </c>
      <c r="C27" s="124">
        <v>178.19678515625</v>
      </c>
      <c r="D27" s="124">
        <v>254.125984375</v>
      </c>
      <c r="E27" s="124">
        <v>2.2548005371093751</v>
      </c>
      <c r="F27" s="125">
        <v>85.682921875000005</v>
      </c>
      <c r="G27" s="126" t="s">
        <v>353</v>
      </c>
    </row>
    <row r="28" spans="1:7" x14ac:dyDescent="0.25">
      <c r="A28" s="123" t="s">
        <v>102</v>
      </c>
      <c r="B28" s="124">
        <v>4587.6342500000001</v>
      </c>
      <c r="C28" s="124">
        <v>139.7872265625</v>
      </c>
      <c r="D28" s="124">
        <v>334.08443749999998</v>
      </c>
      <c r="E28" s="124">
        <v>0.81280007934570309</v>
      </c>
      <c r="F28" s="125">
        <v>46.831130859375001</v>
      </c>
      <c r="G28" s="126" t="s">
        <v>353</v>
      </c>
    </row>
    <row r="29" spans="1:7" x14ac:dyDescent="0.25">
      <c r="A29" s="123" t="s">
        <v>101</v>
      </c>
      <c r="B29" s="124">
        <v>5002.9939999999997</v>
      </c>
      <c r="C29" s="124">
        <v>234.903859375</v>
      </c>
      <c r="D29" s="124">
        <v>268.27315625</v>
      </c>
      <c r="E29" s="124">
        <v>5.48290576171875</v>
      </c>
      <c r="F29" s="125">
        <v>33.951269531249999</v>
      </c>
      <c r="G29" s="126" t="s">
        <v>353</v>
      </c>
    </row>
    <row r="30" spans="1:7" x14ac:dyDescent="0.25">
      <c r="A30" s="123" t="s">
        <v>57</v>
      </c>
      <c r="B30" s="124">
        <v>7969.0280000000002</v>
      </c>
      <c r="C30" s="124">
        <v>94.432277343750002</v>
      </c>
      <c r="D30" s="124">
        <v>1151.38096875</v>
      </c>
      <c r="E30" s="124">
        <v>1.6662411499023437</v>
      </c>
      <c r="F30" s="125">
        <v>149.5559453125</v>
      </c>
      <c r="G30" s="126" t="s">
        <v>356</v>
      </c>
    </row>
    <row r="31" spans="1:7" x14ac:dyDescent="0.25">
      <c r="A31" s="123" t="s">
        <v>210</v>
      </c>
      <c r="B31" s="124">
        <v>3684.7823749999998</v>
      </c>
      <c r="C31" s="124">
        <v>1.0915123901367187</v>
      </c>
      <c r="D31" s="124">
        <v>15.156132324218749</v>
      </c>
      <c r="E31" s="124">
        <v>4.8545559402555226E-6</v>
      </c>
      <c r="F31" s="125">
        <v>0.75052969360351562</v>
      </c>
      <c r="G31" s="126" t="s">
        <v>366</v>
      </c>
    </row>
    <row r="32" spans="1:7" x14ac:dyDescent="0.25">
      <c r="A32" s="123" t="s">
        <v>56</v>
      </c>
      <c r="B32" s="124">
        <v>85.156992187499995</v>
      </c>
      <c r="C32" s="124">
        <v>5.6487204589843749</v>
      </c>
      <c r="D32" s="124">
        <v>0.18309889984130859</v>
      </c>
      <c r="E32" s="124">
        <v>4.0278624267578129</v>
      </c>
      <c r="F32" s="125">
        <v>5.1764489746093751</v>
      </c>
      <c r="G32" s="126" t="s">
        <v>356</v>
      </c>
    </row>
    <row r="33" spans="1:7" x14ac:dyDescent="0.25">
      <c r="A33" s="123" t="s">
        <v>100</v>
      </c>
      <c r="B33" s="124">
        <v>2273.3253749999999</v>
      </c>
      <c r="C33" s="124">
        <v>58.996285156250003</v>
      </c>
      <c r="D33" s="124">
        <v>303.06103906250002</v>
      </c>
      <c r="E33" s="124">
        <v>103.58569921874999</v>
      </c>
      <c r="F33" s="125">
        <v>156.8571484375</v>
      </c>
      <c r="G33" s="126" t="s">
        <v>353</v>
      </c>
    </row>
    <row r="34" spans="1:7" x14ac:dyDescent="0.25">
      <c r="A34" s="123" t="s">
        <v>99</v>
      </c>
      <c r="B34" s="124">
        <v>5889.1970000000001</v>
      </c>
      <c r="C34" s="124">
        <v>158.57496093750001</v>
      </c>
      <c r="D34" s="124">
        <v>347.66253124999997</v>
      </c>
      <c r="E34" s="124">
        <v>387.97085937499997</v>
      </c>
      <c r="F34" s="125">
        <v>559.29248437499996</v>
      </c>
      <c r="G34" s="126" t="s">
        <v>353</v>
      </c>
    </row>
    <row r="35" spans="1:7" x14ac:dyDescent="0.25">
      <c r="A35" s="123" t="s">
        <v>209</v>
      </c>
      <c r="B35" s="124">
        <v>2095.3583749999998</v>
      </c>
      <c r="C35" s="124">
        <v>6.6948117675781251</v>
      </c>
      <c r="D35" s="124">
        <v>13.110295043945312</v>
      </c>
      <c r="E35" s="124">
        <v>2.2349518723785878E-5</v>
      </c>
      <c r="F35" s="125">
        <v>0.8044686889648438</v>
      </c>
      <c r="G35" s="126" t="s">
        <v>361</v>
      </c>
    </row>
    <row r="36" spans="1:7" x14ac:dyDescent="0.25">
      <c r="A36" s="123" t="s">
        <v>55</v>
      </c>
      <c r="B36" s="124">
        <v>200524.23199999999</v>
      </c>
      <c r="C36" s="124">
        <v>3728.24575</v>
      </c>
      <c r="D36" s="124">
        <v>671.25564062499996</v>
      </c>
      <c r="E36" s="124">
        <v>153.74502343750001</v>
      </c>
      <c r="F36" s="125">
        <v>504.89215625000003</v>
      </c>
      <c r="G36" s="126" t="s">
        <v>823</v>
      </c>
    </row>
    <row r="37" spans="1:7" x14ac:dyDescent="0.25">
      <c r="A37" s="123" t="s">
        <v>208</v>
      </c>
      <c r="B37" s="124">
        <v>8483.39725</v>
      </c>
      <c r="C37" s="124">
        <v>62.317466796875003</v>
      </c>
      <c r="D37" s="124">
        <v>164.95064453124999</v>
      </c>
      <c r="E37" s="124">
        <v>0</v>
      </c>
      <c r="F37" s="125">
        <v>5.2650947265625003</v>
      </c>
      <c r="G37" s="126" t="s">
        <v>361</v>
      </c>
    </row>
    <row r="38" spans="1:7" x14ac:dyDescent="0.25">
      <c r="A38" s="123" t="s">
        <v>98</v>
      </c>
      <c r="B38" s="124">
        <v>194.00621874999999</v>
      </c>
      <c r="C38" s="124">
        <v>1.6203544921874999</v>
      </c>
      <c r="D38" s="124">
        <v>0.28824009704589842</v>
      </c>
      <c r="E38" s="124">
        <v>9.1591425781249995</v>
      </c>
      <c r="F38" s="125">
        <v>11.111252929687501</v>
      </c>
      <c r="G38" s="126" t="s">
        <v>353</v>
      </c>
    </row>
    <row r="39" spans="1:7" x14ac:dyDescent="0.25">
      <c r="A39" s="123" t="s">
        <v>207</v>
      </c>
      <c r="B39" s="124">
        <v>1296.7646875</v>
      </c>
      <c r="C39" s="124">
        <v>48.300921875</v>
      </c>
      <c r="D39" s="124">
        <v>211.348890625</v>
      </c>
      <c r="E39" s="124">
        <v>5.7151953124999997</v>
      </c>
      <c r="F39" s="125">
        <v>22.198087890625001</v>
      </c>
      <c r="G39" s="126" t="s">
        <v>356</v>
      </c>
    </row>
    <row r="40" spans="1:7" x14ac:dyDescent="0.25">
      <c r="A40" s="123" t="s">
        <v>205</v>
      </c>
      <c r="B40" s="124">
        <v>532.43617187500001</v>
      </c>
      <c r="C40" s="124">
        <v>1.0524429321289062</v>
      </c>
      <c r="D40" s="124">
        <v>4.518768310546875</v>
      </c>
      <c r="E40" s="124">
        <v>3.6722092190757394E-6</v>
      </c>
      <c r="F40" s="125">
        <v>0.25931892395019529</v>
      </c>
      <c r="G40" s="126" t="s">
        <v>361</v>
      </c>
    </row>
    <row r="41" spans="1:7" x14ac:dyDescent="0.25">
      <c r="A41" s="123" t="s">
        <v>203</v>
      </c>
      <c r="B41" s="124">
        <v>697.72703124999998</v>
      </c>
      <c r="C41" s="124">
        <v>2.4917594604492188</v>
      </c>
      <c r="D41" s="124">
        <v>7.0274099349975583E-2</v>
      </c>
      <c r="E41" s="124">
        <v>3.0217658663168549E-2</v>
      </c>
      <c r="F41" s="125">
        <v>0.25570389556884765</v>
      </c>
      <c r="G41" s="126" t="s">
        <v>366</v>
      </c>
    </row>
    <row r="42" spans="1:7" x14ac:dyDescent="0.25">
      <c r="A42" s="123" t="s">
        <v>202</v>
      </c>
      <c r="B42" s="124">
        <v>1567.4762499999999</v>
      </c>
      <c r="C42" s="124">
        <v>0.77725761413574224</v>
      </c>
      <c r="D42" s="124">
        <v>4.1484521484375003</v>
      </c>
      <c r="E42" s="124">
        <v>5.9439206961542365E-7</v>
      </c>
      <c r="F42" s="125">
        <v>0.58400244140625002</v>
      </c>
      <c r="G42" s="126" t="s">
        <v>361</v>
      </c>
    </row>
    <row r="43" spans="1:7" x14ac:dyDescent="0.25">
      <c r="A43" s="123" t="s">
        <v>201</v>
      </c>
      <c r="B43" s="124">
        <v>99.3025234375</v>
      </c>
      <c r="C43" s="124">
        <v>6.8524971008300781E-2</v>
      </c>
      <c r="D43" s="124">
        <v>8.8257460594177245E-2</v>
      </c>
      <c r="E43" s="124">
        <v>2.1311788260936737E-4</v>
      </c>
      <c r="F43" s="125">
        <v>5.2781911849975584E-2</v>
      </c>
      <c r="G43" s="126" t="s">
        <v>366</v>
      </c>
    </row>
    <row r="44" spans="1:7" x14ac:dyDescent="0.25">
      <c r="A44" s="123" t="s">
        <v>200</v>
      </c>
      <c r="B44" s="124">
        <v>1460.5018124999999</v>
      </c>
      <c r="C44" s="124">
        <v>0.9871893920898438</v>
      </c>
      <c r="D44" s="124">
        <v>0.4997630386352539</v>
      </c>
      <c r="E44" s="124">
        <v>4.5878847122192382E-2</v>
      </c>
      <c r="F44" s="125">
        <v>0.51658941650390622</v>
      </c>
      <c r="G44" s="126" t="s">
        <v>366</v>
      </c>
    </row>
    <row r="45" spans="1:7" x14ac:dyDescent="0.25">
      <c r="A45" s="123" t="s">
        <v>53</v>
      </c>
      <c r="B45" s="124">
        <v>11110.575000000001</v>
      </c>
      <c r="C45" s="124">
        <v>315.06225781249998</v>
      </c>
      <c r="D45" s="124">
        <v>1274.0509999999999</v>
      </c>
      <c r="E45" s="124">
        <v>354.4735</v>
      </c>
      <c r="F45" s="125">
        <v>540.81709375000003</v>
      </c>
      <c r="G45" s="126" t="s">
        <v>356</v>
      </c>
    </row>
    <row r="46" spans="1:7" x14ac:dyDescent="0.25">
      <c r="A46" s="123" t="s">
        <v>199</v>
      </c>
      <c r="B46" s="124">
        <v>5113.9840000000004</v>
      </c>
      <c r="C46" s="124">
        <v>62.866265624999997</v>
      </c>
      <c r="D46" s="124">
        <v>2.2401040344238283</v>
      </c>
      <c r="E46" s="124">
        <v>2.5931423339843751</v>
      </c>
      <c r="F46" s="125">
        <v>50.865431640624998</v>
      </c>
      <c r="G46" s="126" t="s">
        <v>353</v>
      </c>
    </row>
    <row r="47" spans="1:7" x14ac:dyDescent="0.25">
      <c r="A47" s="123" t="s">
        <v>198</v>
      </c>
      <c r="B47" s="124">
        <v>37312.69</v>
      </c>
      <c r="C47" s="124">
        <v>842.414625</v>
      </c>
      <c r="D47" s="124">
        <v>2149.0726875</v>
      </c>
      <c r="E47" s="124">
        <v>525.83570312500001</v>
      </c>
      <c r="F47" s="125">
        <v>1319.2300625</v>
      </c>
      <c r="G47" s="126" t="s">
        <v>353</v>
      </c>
    </row>
    <row r="48" spans="1:7" x14ac:dyDescent="0.25">
      <c r="A48" s="123" t="s">
        <v>197</v>
      </c>
      <c r="B48" s="124">
        <v>726.51834374999999</v>
      </c>
      <c r="C48" s="124">
        <v>0.38873008728027342</v>
      </c>
      <c r="D48" s="124">
        <v>0.98303277587890625</v>
      </c>
      <c r="E48" s="124">
        <v>3.2700975239276887E-4</v>
      </c>
      <c r="F48" s="125">
        <v>0.25325089263916017</v>
      </c>
      <c r="G48" s="126" t="s">
        <v>366</v>
      </c>
    </row>
    <row r="49" spans="1:7" x14ac:dyDescent="0.25">
      <c r="A49" s="123" t="s">
        <v>52</v>
      </c>
      <c r="B49" s="124">
        <v>280.00243749999998</v>
      </c>
      <c r="C49" s="124">
        <v>22.670415527343749</v>
      </c>
      <c r="D49" s="124">
        <v>25.7822109375</v>
      </c>
      <c r="E49" s="124">
        <v>3.3317878417968751</v>
      </c>
      <c r="F49" s="125">
        <v>7.9768427734375003</v>
      </c>
      <c r="G49" s="126" t="s">
        <v>356</v>
      </c>
    </row>
    <row r="50" spans="1:7" x14ac:dyDescent="0.25">
      <c r="A50" s="123" t="s">
        <v>195</v>
      </c>
      <c r="B50" s="124">
        <v>1986.4086875</v>
      </c>
      <c r="C50" s="124">
        <v>26.8488095703125</v>
      </c>
      <c r="D50" s="124">
        <v>117.35088671875</v>
      </c>
      <c r="E50" s="124">
        <v>1.5408029407262803E-4</v>
      </c>
      <c r="F50" s="125">
        <v>5.4532275390624996</v>
      </c>
      <c r="G50" s="126" t="s">
        <v>361</v>
      </c>
    </row>
    <row r="51" spans="1:7" x14ac:dyDescent="0.25">
      <c r="A51" s="123" t="s">
        <v>51</v>
      </c>
      <c r="B51" s="124">
        <v>2288.1005</v>
      </c>
      <c r="C51" s="124">
        <v>70.672746093750007</v>
      </c>
      <c r="D51" s="124">
        <v>35.992606445312497</v>
      </c>
      <c r="E51" s="124">
        <v>0</v>
      </c>
      <c r="F51" s="125">
        <v>10.233211425781249</v>
      </c>
      <c r="G51" s="126" t="s">
        <v>361</v>
      </c>
    </row>
    <row r="52" spans="1:7" x14ac:dyDescent="0.25">
      <c r="A52" s="123" t="s">
        <v>194</v>
      </c>
      <c r="B52" s="124">
        <v>13317.610500000001</v>
      </c>
      <c r="C52" s="124">
        <v>49.511873046875003</v>
      </c>
      <c r="D52" s="124">
        <v>10.756077392578124</v>
      </c>
      <c r="E52" s="124">
        <v>7.62274169921875</v>
      </c>
      <c r="F52" s="125">
        <v>46.8000859375</v>
      </c>
      <c r="G52" s="126" t="s">
        <v>356</v>
      </c>
    </row>
    <row r="53" spans="1:7" x14ac:dyDescent="0.25">
      <c r="A53" s="123" t="s">
        <v>49</v>
      </c>
      <c r="B53" s="124">
        <v>1240.706375</v>
      </c>
      <c r="C53" s="124">
        <v>10.54307373046875</v>
      </c>
      <c r="D53" s="124">
        <v>44.135817382812498</v>
      </c>
      <c r="E53" s="124">
        <v>1.3186885043978691E-6</v>
      </c>
      <c r="F53" s="125">
        <v>0.55206469726562502</v>
      </c>
      <c r="G53" s="126" t="s">
        <v>356</v>
      </c>
    </row>
    <row r="54" spans="1:7" x14ac:dyDescent="0.25">
      <c r="A54" s="123" t="s">
        <v>193</v>
      </c>
      <c r="B54" s="124">
        <v>267.07665624999998</v>
      </c>
      <c r="C54" s="124">
        <v>4.8010933837890626</v>
      </c>
      <c r="D54" s="124">
        <v>19.547301757812502</v>
      </c>
      <c r="E54" s="124">
        <v>9.8511791992187501</v>
      </c>
      <c r="F54" s="125">
        <v>15.219791992187499</v>
      </c>
      <c r="G54" s="126" t="s">
        <v>366</v>
      </c>
    </row>
    <row r="55" spans="1:7" x14ac:dyDescent="0.25">
      <c r="A55" s="123" t="s">
        <v>96</v>
      </c>
      <c r="B55" s="124">
        <v>1195.3518125000001</v>
      </c>
      <c r="C55" s="124">
        <v>57.729880859375001</v>
      </c>
      <c r="D55" s="124">
        <v>59.976271484374998</v>
      </c>
      <c r="E55" s="124">
        <v>13.11692724609375</v>
      </c>
      <c r="F55" s="125">
        <v>31.802615234375001</v>
      </c>
      <c r="G55" s="126" t="s">
        <v>353</v>
      </c>
    </row>
    <row r="56" spans="1:7" x14ac:dyDescent="0.25">
      <c r="A56" s="123" t="s">
        <v>192</v>
      </c>
      <c r="B56" s="124">
        <v>254.83308593749999</v>
      </c>
      <c r="C56" s="124">
        <v>2.0232956237792967</v>
      </c>
      <c r="D56" s="124">
        <v>2.6219498291015624</v>
      </c>
      <c r="E56" s="124">
        <v>1.4801869541406632E-4</v>
      </c>
      <c r="F56" s="125">
        <v>6.839399337768555E-2</v>
      </c>
      <c r="G56" s="126" t="s">
        <v>366</v>
      </c>
    </row>
    <row r="57" spans="1:7" x14ac:dyDescent="0.25">
      <c r="A57" s="123" t="s">
        <v>95</v>
      </c>
      <c r="B57" s="124">
        <v>36594.817999999999</v>
      </c>
      <c r="C57" s="124">
        <v>1255.7192500000001</v>
      </c>
      <c r="D57" s="124">
        <v>2530.2752500000001</v>
      </c>
      <c r="E57" s="124">
        <v>119.39628515625</v>
      </c>
      <c r="F57" s="125">
        <v>814.78678124999999</v>
      </c>
      <c r="G57" s="126" t="s">
        <v>353</v>
      </c>
    </row>
    <row r="58" spans="1:7" x14ac:dyDescent="0.25">
      <c r="A58" s="123" t="s">
        <v>191</v>
      </c>
      <c r="B58" s="124">
        <v>146.08504687499999</v>
      </c>
      <c r="C58" s="124">
        <v>0.48304398345947264</v>
      </c>
      <c r="D58" s="124">
        <v>0.44019108581542971</v>
      </c>
      <c r="E58" s="124">
        <v>9.1503710746765141E-3</v>
      </c>
      <c r="F58" s="125">
        <v>0.19429531860351562</v>
      </c>
      <c r="G58" s="126" t="s">
        <v>361</v>
      </c>
    </row>
    <row r="59" spans="1:7" x14ac:dyDescent="0.25">
      <c r="A59" s="123" t="s">
        <v>190</v>
      </c>
      <c r="B59" s="124">
        <v>690.75428124999996</v>
      </c>
      <c r="C59" s="124">
        <v>0.49096957397460939</v>
      </c>
      <c r="D59" s="124">
        <v>0.31455935668945312</v>
      </c>
      <c r="E59" s="124">
        <v>4.5092472434043882E-4</v>
      </c>
      <c r="F59" s="125">
        <v>0.22427942657470704</v>
      </c>
      <c r="G59" s="126" t="s">
        <v>366</v>
      </c>
    </row>
    <row r="60" spans="1:7" x14ac:dyDescent="0.25">
      <c r="A60" s="123" t="s">
        <v>189</v>
      </c>
      <c r="B60" s="124">
        <v>7433.9517500000002</v>
      </c>
      <c r="C60" s="124">
        <v>6.348236083984375</v>
      </c>
      <c r="D60" s="124">
        <v>35.211750000000002</v>
      </c>
      <c r="E60" s="124">
        <v>8.9266563415527342E-2</v>
      </c>
      <c r="F60" s="125">
        <v>3.9484626464843751</v>
      </c>
      <c r="G60" s="126" t="s">
        <v>366</v>
      </c>
    </row>
    <row r="61" spans="1:7" x14ac:dyDescent="0.25">
      <c r="A61" s="123" t="s">
        <v>188</v>
      </c>
      <c r="B61" s="124">
        <v>400.21559374999998</v>
      </c>
      <c r="C61" s="124">
        <v>12.86731884765625</v>
      </c>
      <c r="D61" s="124">
        <v>80.8263828125</v>
      </c>
      <c r="E61" s="124">
        <v>0.67981817626953123</v>
      </c>
      <c r="F61" s="125">
        <v>4.4449591064453129</v>
      </c>
      <c r="G61" s="126" t="s">
        <v>361</v>
      </c>
    </row>
    <row r="62" spans="1:7" x14ac:dyDescent="0.25">
      <c r="A62" s="123" t="s">
        <v>187</v>
      </c>
      <c r="B62" s="124">
        <v>566.03112499999997</v>
      </c>
      <c r="C62" s="124">
        <v>15.4748271484375</v>
      </c>
      <c r="D62" s="124">
        <v>13.4273056640625</v>
      </c>
      <c r="E62" s="124">
        <v>1.6173719482421876</v>
      </c>
      <c r="F62" s="125">
        <v>3.5394912109374999</v>
      </c>
      <c r="G62" s="126" t="s">
        <v>353</v>
      </c>
    </row>
    <row r="63" spans="1:7" x14ac:dyDescent="0.25">
      <c r="A63" s="123" t="s">
        <v>48</v>
      </c>
      <c r="B63" s="124">
        <v>709.84362499999997</v>
      </c>
      <c r="C63" s="124">
        <v>12.46268310546875</v>
      </c>
      <c r="D63" s="124">
        <v>0.85331642150878906</v>
      </c>
      <c r="E63" s="124">
        <v>0.39035137939453124</v>
      </c>
      <c r="F63" s="125">
        <v>0.65820156860351564</v>
      </c>
      <c r="G63" s="126" t="s">
        <v>356</v>
      </c>
    </row>
    <row r="64" spans="1:7" x14ac:dyDescent="0.25">
      <c r="A64" s="123" t="s">
        <v>186</v>
      </c>
      <c r="B64" s="124">
        <v>10358.207</v>
      </c>
      <c r="C64" s="124">
        <v>5.2293223876953121</v>
      </c>
      <c r="D64" s="124">
        <v>15.962063720703124</v>
      </c>
      <c r="E64" s="124">
        <v>3.2414955139160158E-2</v>
      </c>
      <c r="F64" s="125">
        <v>2.92926904296875</v>
      </c>
      <c r="G64" s="126" t="s">
        <v>366</v>
      </c>
    </row>
    <row r="65" spans="1:7" x14ac:dyDescent="0.25">
      <c r="A65" s="123" t="s">
        <v>93</v>
      </c>
      <c r="B65" s="124">
        <v>7530.4629999999997</v>
      </c>
      <c r="C65" s="124">
        <v>240.58953906249999</v>
      </c>
      <c r="D65" s="124">
        <v>571.62601562500004</v>
      </c>
      <c r="E65" s="124">
        <v>31.902818359375001</v>
      </c>
      <c r="F65" s="125">
        <v>92.446136718749997</v>
      </c>
      <c r="G65" s="126" t="s">
        <v>356</v>
      </c>
    </row>
    <row r="66" spans="1:7" x14ac:dyDescent="0.25">
      <c r="A66" s="123" t="s">
        <v>185</v>
      </c>
      <c r="B66" s="124">
        <v>1310.2755</v>
      </c>
      <c r="C66" s="124">
        <v>1.1120499267578126</v>
      </c>
      <c r="D66" s="124">
        <v>1.6271518554687501</v>
      </c>
      <c r="E66" s="124">
        <v>0</v>
      </c>
      <c r="F66" s="125">
        <v>0.52914849853515622</v>
      </c>
      <c r="G66" s="126" t="s">
        <v>366</v>
      </c>
    </row>
    <row r="67" spans="1:7" x14ac:dyDescent="0.25">
      <c r="A67" s="123" t="s">
        <v>184</v>
      </c>
      <c r="B67" s="124">
        <v>19.768229492187501</v>
      </c>
      <c r="C67" s="124">
        <v>2.2384153008460999E-3</v>
      </c>
      <c r="D67" s="124">
        <v>0.44306425476074218</v>
      </c>
      <c r="E67" s="124">
        <v>1.6665587310171758E-10</v>
      </c>
      <c r="F67" s="125">
        <v>1.0279147148132325E-2</v>
      </c>
      <c r="G67" s="126" t="s">
        <v>361</v>
      </c>
    </row>
    <row r="68" spans="1:7" x14ac:dyDescent="0.25">
      <c r="A68" s="123" t="s">
        <v>47</v>
      </c>
      <c r="B68" s="124">
        <v>2730.4868750000001</v>
      </c>
      <c r="C68" s="124">
        <v>32.599154296875</v>
      </c>
      <c r="D68" s="124">
        <v>61.301826171875</v>
      </c>
      <c r="E68" s="124">
        <v>9.3789663314819329E-3</v>
      </c>
      <c r="F68" s="125">
        <v>17.927411132812502</v>
      </c>
      <c r="G68" s="126" t="s">
        <v>356</v>
      </c>
    </row>
    <row r="69" spans="1:7" x14ac:dyDescent="0.25">
      <c r="A69" s="123" t="s">
        <v>92</v>
      </c>
      <c r="B69" s="124">
        <v>3929.5553749999999</v>
      </c>
      <c r="C69" s="124">
        <v>103.907</v>
      </c>
      <c r="D69" s="124">
        <v>111.55594140625</v>
      </c>
      <c r="E69" s="124">
        <v>6.6452871093750003</v>
      </c>
      <c r="F69" s="125">
        <v>113.6923984375</v>
      </c>
      <c r="G69" s="126" t="s">
        <v>353</v>
      </c>
    </row>
    <row r="70" spans="1:7" x14ac:dyDescent="0.25">
      <c r="A70" s="123" t="s">
        <v>183</v>
      </c>
      <c r="B70" s="124">
        <v>925.43406249999998</v>
      </c>
      <c r="C70" s="124">
        <v>12.3839873046875</v>
      </c>
      <c r="D70" s="124">
        <v>27.893473632812501</v>
      </c>
      <c r="E70" s="124">
        <v>24.113643554687499</v>
      </c>
      <c r="F70" s="125">
        <v>38.155898437499999</v>
      </c>
      <c r="G70" s="126" t="s">
        <v>353</v>
      </c>
    </row>
    <row r="71" spans="1:7" x14ac:dyDescent="0.25">
      <c r="A71" s="123" t="s">
        <v>46</v>
      </c>
      <c r="B71" s="124">
        <v>204.4472578125</v>
      </c>
      <c r="C71" s="124">
        <v>2.4379697875976563</v>
      </c>
      <c r="D71" s="124">
        <v>17.618287109375</v>
      </c>
      <c r="E71" s="124">
        <v>7.9139738227240737E-7</v>
      </c>
      <c r="F71" s="125">
        <v>4.0589099884033204E-2</v>
      </c>
      <c r="G71" s="126" t="s">
        <v>356</v>
      </c>
    </row>
    <row r="72" spans="1:7" x14ac:dyDescent="0.25">
      <c r="A72" s="123" t="s">
        <v>90</v>
      </c>
      <c r="B72" s="124">
        <v>3377.0591250000002</v>
      </c>
      <c r="C72" s="124">
        <v>102.9273203125</v>
      </c>
      <c r="D72" s="124">
        <v>230.74131249999999</v>
      </c>
      <c r="E72" s="124">
        <v>0</v>
      </c>
      <c r="F72" s="125">
        <v>95.380867187500002</v>
      </c>
      <c r="G72" s="126" t="s">
        <v>353</v>
      </c>
    </row>
    <row r="73" spans="1:7" x14ac:dyDescent="0.25">
      <c r="A73" s="123" t="s">
        <v>45</v>
      </c>
      <c r="B73" s="124">
        <v>1341.0476249999999</v>
      </c>
      <c r="C73" s="124">
        <v>14.5343544921875</v>
      </c>
      <c r="D73" s="124">
        <v>60.964646484375002</v>
      </c>
      <c r="E73" s="124">
        <v>1.2299892026931047E-5</v>
      </c>
      <c r="F73" s="125">
        <v>0.76161831665039059</v>
      </c>
      <c r="G73" s="126" t="s">
        <v>356</v>
      </c>
    </row>
    <row r="74" spans="1:7" x14ac:dyDescent="0.25">
      <c r="A74" s="123" t="s">
        <v>182</v>
      </c>
      <c r="B74" s="124">
        <v>1814.3715</v>
      </c>
      <c r="C74" s="124">
        <v>4.8518975830078128</v>
      </c>
      <c r="D74" s="124">
        <v>0.57989949035644528</v>
      </c>
      <c r="E74" s="124">
        <v>0</v>
      </c>
      <c r="F74" s="125">
        <v>0.42650033569335938</v>
      </c>
      <c r="G74" s="126" t="s">
        <v>366</v>
      </c>
    </row>
    <row r="75" spans="1:7" x14ac:dyDescent="0.25">
      <c r="A75" s="123" t="s">
        <v>181</v>
      </c>
      <c r="B75" s="124">
        <v>28.714152343750001</v>
      </c>
      <c r="C75" s="124">
        <v>1.6377382278442383E-2</v>
      </c>
      <c r="D75" s="124">
        <v>0.10670727920532226</v>
      </c>
      <c r="E75" s="124">
        <v>1.1461796760559083E-3</v>
      </c>
      <c r="F75" s="125">
        <v>9.5544285774230957E-3</v>
      </c>
      <c r="G75" s="126" t="s">
        <v>366</v>
      </c>
    </row>
    <row r="76" spans="1:7" x14ac:dyDescent="0.25">
      <c r="A76" s="123" t="s">
        <v>44</v>
      </c>
      <c r="B76" s="124">
        <v>305111.87199999997</v>
      </c>
      <c r="C76" s="124">
        <v>7286.1409999999996</v>
      </c>
      <c r="D76" s="124">
        <v>3851.9034999999999</v>
      </c>
      <c r="E76" s="124">
        <v>4994.0092500000001</v>
      </c>
      <c r="F76" s="125">
        <v>10569.816500000001</v>
      </c>
      <c r="G76" s="126" t="s">
        <v>823</v>
      </c>
    </row>
    <row r="77" spans="1:7" x14ac:dyDescent="0.25">
      <c r="A77" s="123" t="s">
        <v>43</v>
      </c>
      <c r="B77" s="124">
        <v>53248.826000000001</v>
      </c>
      <c r="C77" s="124">
        <v>2561.7368124999998</v>
      </c>
      <c r="D77" s="124">
        <v>40.750691894531251</v>
      </c>
      <c r="E77" s="124">
        <v>956.25337500000001</v>
      </c>
      <c r="F77" s="125">
        <v>1162.1131875000001</v>
      </c>
      <c r="G77" s="126" t="s">
        <v>823</v>
      </c>
    </row>
    <row r="78" spans="1:7" x14ac:dyDescent="0.25">
      <c r="A78" s="123" t="s">
        <v>180</v>
      </c>
      <c r="B78" s="124">
        <v>12029.0715</v>
      </c>
      <c r="C78" s="124">
        <v>53.257615234375002</v>
      </c>
      <c r="D78" s="124">
        <v>57.06040625</v>
      </c>
      <c r="E78" s="124">
        <v>0.26153715515136716</v>
      </c>
      <c r="F78" s="125">
        <v>7.2571445312499998</v>
      </c>
      <c r="G78" s="126" t="s">
        <v>361</v>
      </c>
    </row>
    <row r="79" spans="1:7" x14ac:dyDescent="0.25">
      <c r="A79" s="123" t="s">
        <v>42</v>
      </c>
      <c r="B79" s="124">
        <v>14563.75</v>
      </c>
      <c r="C79" s="124">
        <v>67.841171875000001</v>
      </c>
      <c r="D79" s="124">
        <v>0.29411494445800779</v>
      </c>
      <c r="E79" s="124">
        <v>5.7348430175781253</v>
      </c>
      <c r="F79" s="125">
        <v>63.904007812499998</v>
      </c>
      <c r="G79" s="126" t="s">
        <v>356</v>
      </c>
    </row>
    <row r="80" spans="1:7" x14ac:dyDescent="0.25">
      <c r="A80" s="123" t="s">
        <v>179</v>
      </c>
      <c r="B80" s="124">
        <v>475.58146875</v>
      </c>
      <c r="C80" s="124">
        <v>0.38154891967773436</v>
      </c>
      <c r="D80" s="124">
        <v>1.2536419372558594</v>
      </c>
      <c r="E80" s="124">
        <v>0</v>
      </c>
      <c r="F80" s="125">
        <v>0.2641600036621094</v>
      </c>
      <c r="G80" s="126" t="s">
        <v>366</v>
      </c>
    </row>
    <row r="81" spans="1:7" x14ac:dyDescent="0.25">
      <c r="A81" s="123" t="s">
        <v>178</v>
      </c>
      <c r="B81" s="124">
        <v>659.41609374999996</v>
      </c>
      <c r="C81" s="124">
        <v>0.49189735412597657</v>
      </c>
      <c r="D81" s="124">
        <v>1.3448077392578126</v>
      </c>
      <c r="E81" s="124">
        <v>8.3405008316040034E-3</v>
      </c>
      <c r="F81" s="125">
        <v>0.57483386230468747</v>
      </c>
      <c r="G81" s="126" t="s">
        <v>366</v>
      </c>
    </row>
    <row r="82" spans="1:7" x14ac:dyDescent="0.25">
      <c r="A82" s="123" t="s">
        <v>177</v>
      </c>
      <c r="B82" s="124">
        <v>6575.3267500000002</v>
      </c>
      <c r="C82" s="124">
        <v>3.6906689453124999</v>
      </c>
      <c r="D82" s="124">
        <v>36.174108398437497</v>
      </c>
      <c r="E82" s="124">
        <v>0.24737165832519531</v>
      </c>
      <c r="F82" s="125">
        <v>1.0180510559082032</v>
      </c>
      <c r="G82" s="126" t="s">
        <v>366</v>
      </c>
    </row>
    <row r="83" spans="1:7" x14ac:dyDescent="0.25">
      <c r="A83" s="123" t="s">
        <v>176</v>
      </c>
      <c r="B83" s="124">
        <v>434.81132812499999</v>
      </c>
      <c r="C83" s="124">
        <v>0.48174736022949216</v>
      </c>
      <c r="D83" s="124">
        <v>33.936215820312498</v>
      </c>
      <c r="E83" s="124">
        <v>0</v>
      </c>
      <c r="F83" s="125">
        <v>0.40445404052734374</v>
      </c>
      <c r="G83" s="126" t="s">
        <v>361</v>
      </c>
    </row>
    <row r="84" spans="1:7" x14ac:dyDescent="0.25">
      <c r="A84" s="123" t="s">
        <v>175</v>
      </c>
      <c r="B84" s="124">
        <v>12996.842000000001</v>
      </c>
      <c r="C84" s="124">
        <v>33.028490234374999</v>
      </c>
      <c r="D84" s="124">
        <v>2.5678133544921873</v>
      </c>
      <c r="E84" s="124">
        <v>0.16745998382568358</v>
      </c>
      <c r="F84" s="125">
        <v>4.9704526367187496</v>
      </c>
      <c r="G84" s="126" t="s">
        <v>366</v>
      </c>
    </row>
    <row r="85" spans="1:7" x14ac:dyDescent="0.25">
      <c r="A85" s="123" t="s">
        <v>41</v>
      </c>
      <c r="B85" s="124">
        <v>802.12112500000001</v>
      </c>
      <c r="C85" s="124">
        <v>0.70789486694335935</v>
      </c>
      <c r="D85" s="124">
        <v>0.86903797912597658</v>
      </c>
      <c r="E85" s="124">
        <v>4.0746395111083987E-2</v>
      </c>
      <c r="F85" s="125">
        <v>0.72828842163085938</v>
      </c>
      <c r="G85" s="126" t="s">
        <v>361</v>
      </c>
    </row>
    <row r="86" spans="1:7" x14ac:dyDescent="0.25">
      <c r="A86" s="123" t="s">
        <v>174</v>
      </c>
      <c r="B86" s="124">
        <v>4166.9882500000003</v>
      </c>
      <c r="C86" s="124">
        <v>68.926392578125004</v>
      </c>
      <c r="D86" s="124">
        <v>10.350452880859375</v>
      </c>
      <c r="E86" s="124">
        <v>0.17617557525634767</v>
      </c>
      <c r="F86" s="125">
        <v>1.9737754516601562</v>
      </c>
      <c r="G86" s="126" t="s">
        <v>361</v>
      </c>
    </row>
    <row r="87" spans="1:7" x14ac:dyDescent="0.25">
      <c r="A87" s="123" t="s">
        <v>89</v>
      </c>
      <c r="B87" s="124">
        <v>14720.223</v>
      </c>
      <c r="C87" s="124">
        <v>708.10673437499997</v>
      </c>
      <c r="D87" s="124">
        <v>3567.455125</v>
      </c>
      <c r="E87" s="124">
        <v>49.63741796875</v>
      </c>
      <c r="F87" s="125">
        <v>205.66478125</v>
      </c>
      <c r="G87" s="126" t="s">
        <v>353</v>
      </c>
    </row>
    <row r="88" spans="1:7" x14ac:dyDescent="0.25">
      <c r="A88" s="123" t="s">
        <v>173</v>
      </c>
      <c r="B88" s="124">
        <v>257.22184375000001</v>
      </c>
      <c r="C88" s="124">
        <v>0.59956030273437499</v>
      </c>
      <c r="D88" s="124">
        <v>0.89484523391723636</v>
      </c>
      <c r="E88" s="124">
        <v>4.6396082639694211E-4</v>
      </c>
      <c r="F88" s="125">
        <v>4.9015619277954101E-2</v>
      </c>
      <c r="G88" s="126" t="s">
        <v>366</v>
      </c>
    </row>
    <row r="89" spans="1:7" x14ac:dyDescent="0.25">
      <c r="A89" s="123" t="s">
        <v>172</v>
      </c>
      <c r="B89" s="124">
        <v>1188.499875</v>
      </c>
      <c r="C89" s="124">
        <v>22.927340820312502</v>
      </c>
      <c r="D89" s="124">
        <v>1.6249212951660157</v>
      </c>
      <c r="E89" s="124">
        <v>8.548934936523438E-3</v>
      </c>
      <c r="F89" s="125">
        <v>0.3615921173095703</v>
      </c>
      <c r="G89" s="126" t="s">
        <v>353</v>
      </c>
    </row>
    <row r="90" spans="1:7" x14ac:dyDescent="0.25">
      <c r="A90" s="123" t="s">
        <v>171</v>
      </c>
      <c r="B90" s="124">
        <v>1627.7426250000001</v>
      </c>
      <c r="C90" s="124">
        <v>31.448244140625</v>
      </c>
      <c r="D90" s="124">
        <v>2.3977827148437498</v>
      </c>
      <c r="E90" s="124">
        <v>46.619087890625003</v>
      </c>
      <c r="F90" s="125">
        <v>61.188167968750001</v>
      </c>
      <c r="G90" s="126" t="s">
        <v>356</v>
      </c>
    </row>
    <row r="91" spans="1:7" x14ac:dyDescent="0.25">
      <c r="A91" s="123" t="s">
        <v>170</v>
      </c>
      <c r="B91" s="124">
        <v>454.1534375</v>
      </c>
      <c r="C91" s="124">
        <v>3.8104345703125002</v>
      </c>
      <c r="D91" s="124">
        <v>2.7865091552734373</v>
      </c>
      <c r="E91" s="124">
        <v>0</v>
      </c>
      <c r="F91" s="125">
        <v>3.628062152862549E-2</v>
      </c>
      <c r="G91" s="126" t="s">
        <v>361</v>
      </c>
    </row>
    <row r="92" spans="1:7" x14ac:dyDescent="0.25">
      <c r="A92" s="123" t="s">
        <v>169</v>
      </c>
      <c r="B92" s="124">
        <v>720.05109374999995</v>
      </c>
      <c r="C92" s="124">
        <v>1.1180945434570313</v>
      </c>
      <c r="D92" s="124">
        <v>4.8109068603515626</v>
      </c>
      <c r="E92" s="124">
        <v>1.3998537540435792E-2</v>
      </c>
      <c r="F92" s="125">
        <v>0.60554806518554682</v>
      </c>
      <c r="G92" s="126" t="s">
        <v>361</v>
      </c>
    </row>
    <row r="93" spans="1:7" x14ac:dyDescent="0.25">
      <c r="A93" s="123" t="s">
        <v>38</v>
      </c>
      <c r="B93" s="124">
        <v>809.1964375</v>
      </c>
      <c r="C93" s="124">
        <v>15.5753876953125</v>
      </c>
      <c r="D93" s="124">
        <v>459.73025000000001</v>
      </c>
      <c r="E93" s="124">
        <v>7.6719364166259768E-2</v>
      </c>
      <c r="F93" s="125">
        <v>6.1855087890625002</v>
      </c>
      <c r="G93" s="126" t="s">
        <v>356</v>
      </c>
    </row>
    <row r="94" spans="1:7" x14ac:dyDescent="0.25">
      <c r="A94" s="123" t="s">
        <v>85</v>
      </c>
      <c r="B94" s="124">
        <v>2352.0162500000001</v>
      </c>
      <c r="C94" s="124">
        <v>46.763302734375003</v>
      </c>
      <c r="D94" s="124">
        <v>56.843224609375</v>
      </c>
      <c r="E94" s="124">
        <v>114.59364062500001</v>
      </c>
      <c r="F94" s="125">
        <v>166.39727343749999</v>
      </c>
      <c r="G94" s="126" t="s">
        <v>353</v>
      </c>
    </row>
    <row r="95" spans="1:7" x14ac:dyDescent="0.25">
      <c r="A95" s="123" t="s">
        <v>168</v>
      </c>
      <c r="B95" s="124">
        <v>835.92128124999999</v>
      </c>
      <c r="C95" s="124">
        <v>2.3822408447265624</v>
      </c>
      <c r="D95" s="124">
        <v>10.464094604492187</v>
      </c>
      <c r="E95" s="124">
        <v>0.27638183593749999</v>
      </c>
      <c r="F95" s="125">
        <v>1.0509008789062499</v>
      </c>
      <c r="G95" s="126" t="s">
        <v>361</v>
      </c>
    </row>
    <row r="96" spans="1:7" x14ac:dyDescent="0.25">
      <c r="A96" s="123" t="s">
        <v>167</v>
      </c>
      <c r="B96" s="124">
        <v>633.01437499999997</v>
      </c>
      <c r="C96" s="124">
        <v>5.9739677124023434</v>
      </c>
      <c r="D96" s="124">
        <v>0.95543630981445316</v>
      </c>
      <c r="E96" s="124">
        <v>6.9494944810867304E-4</v>
      </c>
      <c r="F96" s="125">
        <v>0.16304161834716796</v>
      </c>
      <c r="G96" s="126" t="s">
        <v>361</v>
      </c>
    </row>
    <row r="97" spans="1:7" x14ac:dyDescent="0.25">
      <c r="A97" s="123" t="s">
        <v>166</v>
      </c>
      <c r="B97" s="124">
        <v>55.831218749999998</v>
      </c>
      <c r="C97" s="124">
        <v>3.1130450248718262E-2</v>
      </c>
      <c r="D97" s="124">
        <v>9.4163347244262702E-2</v>
      </c>
      <c r="E97" s="124">
        <v>4.2576586827635767E-5</v>
      </c>
      <c r="F97" s="125">
        <v>1.5534003257751465E-2</v>
      </c>
      <c r="G97" s="126" t="s">
        <v>366</v>
      </c>
    </row>
    <row r="98" spans="1:7" x14ac:dyDescent="0.25">
      <c r="A98" s="123" t="s">
        <v>84</v>
      </c>
      <c r="B98" s="124">
        <v>6466.0529999999999</v>
      </c>
      <c r="C98" s="124">
        <v>197.67192187500001</v>
      </c>
      <c r="D98" s="124">
        <v>15.485051025390625</v>
      </c>
      <c r="E98" s="124">
        <v>73.902949218749995</v>
      </c>
      <c r="F98" s="125">
        <v>213.44053124999999</v>
      </c>
      <c r="G98" s="126" t="s">
        <v>353</v>
      </c>
    </row>
    <row r="99" spans="1:7" x14ac:dyDescent="0.25">
      <c r="A99" s="123" t="s">
        <v>83</v>
      </c>
      <c r="B99" s="124">
        <v>7574.924</v>
      </c>
      <c r="C99" s="124">
        <v>157.76126562499999</v>
      </c>
      <c r="D99" s="124">
        <v>1862.2006249999999</v>
      </c>
      <c r="E99" s="124">
        <v>3.2344279785156251</v>
      </c>
      <c r="F99" s="125">
        <v>45.075007812499997</v>
      </c>
      <c r="G99" s="126" t="s">
        <v>353</v>
      </c>
    </row>
    <row r="100" spans="1:7" x14ac:dyDescent="0.25">
      <c r="A100" s="123" t="s">
        <v>165</v>
      </c>
      <c r="B100" s="124">
        <v>3682.0927499999998</v>
      </c>
      <c r="C100" s="124">
        <v>97.739226562499994</v>
      </c>
      <c r="D100" s="124">
        <v>68.283009765624996</v>
      </c>
      <c r="E100" s="124">
        <v>0.60247720336914068</v>
      </c>
      <c r="F100" s="125">
        <v>6.3349899902343747</v>
      </c>
      <c r="G100" s="126" t="s">
        <v>361</v>
      </c>
    </row>
    <row r="101" spans="1:7" x14ac:dyDescent="0.25">
      <c r="A101" s="123" t="s">
        <v>37</v>
      </c>
      <c r="B101" s="124">
        <v>57.977076171874998</v>
      </c>
      <c r="C101" s="124">
        <v>0.32356233215332031</v>
      </c>
      <c r="D101" s="124">
        <v>1.6941016845703125</v>
      </c>
      <c r="E101" s="124">
        <v>3.5277413368225097E-2</v>
      </c>
      <c r="F101" s="125">
        <v>0.21660049438476561</v>
      </c>
      <c r="G101" s="126" t="s">
        <v>361</v>
      </c>
    </row>
    <row r="102" spans="1:7" x14ac:dyDescent="0.25">
      <c r="A102" s="123" t="s">
        <v>82</v>
      </c>
      <c r="B102" s="124">
        <v>7065.8649999999998</v>
      </c>
      <c r="C102" s="124">
        <v>190.77727343750001</v>
      </c>
      <c r="D102" s="124">
        <v>152.53074609375</v>
      </c>
      <c r="E102" s="124">
        <v>2.1686186523437501</v>
      </c>
      <c r="F102" s="125">
        <v>90.011363281249999</v>
      </c>
      <c r="G102" s="126" t="s">
        <v>353</v>
      </c>
    </row>
    <row r="103" spans="1:7" x14ac:dyDescent="0.25">
      <c r="A103" s="123" t="s">
        <v>164</v>
      </c>
      <c r="B103" s="124">
        <v>44.578703124999997</v>
      </c>
      <c r="C103" s="124">
        <v>1.3019473552703857E-2</v>
      </c>
      <c r="D103" s="124">
        <v>6.2088809013366698E-2</v>
      </c>
      <c r="E103" s="124">
        <v>0</v>
      </c>
      <c r="F103" s="125">
        <v>1.9334586143493652E-2</v>
      </c>
      <c r="G103" s="126" t="s">
        <v>366</v>
      </c>
    </row>
    <row r="104" spans="1:7" x14ac:dyDescent="0.25">
      <c r="A104" s="123" t="s">
        <v>81</v>
      </c>
      <c r="B104" s="124">
        <v>1029.8784375</v>
      </c>
      <c r="C104" s="124">
        <v>46.894306640624997</v>
      </c>
      <c r="D104" s="124">
        <v>14.203659667968751</v>
      </c>
      <c r="E104" s="124">
        <v>16.298535156250001</v>
      </c>
      <c r="F104" s="125">
        <v>39.987380859375001</v>
      </c>
      <c r="G104" s="126" t="s">
        <v>356</v>
      </c>
    </row>
    <row r="105" spans="1:7" x14ac:dyDescent="0.25">
      <c r="A105" s="123" t="s">
        <v>163</v>
      </c>
      <c r="B105" s="124">
        <v>206.74655468750001</v>
      </c>
      <c r="C105" s="124">
        <v>0.66794184875488283</v>
      </c>
      <c r="D105" s="124">
        <v>2.4563688964843751</v>
      </c>
      <c r="E105" s="124">
        <v>9.7779117584228512E-2</v>
      </c>
      <c r="F105" s="125">
        <v>0.22088890075683593</v>
      </c>
      <c r="G105" s="126" t="s">
        <v>361</v>
      </c>
    </row>
    <row r="106" spans="1:7" x14ac:dyDescent="0.25">
      <c r="A106" s="123" t="s">
        <v>162</v>
      </c>
      <c r="B106" s="124">
        <v>15192.736999999999</v>
      </c>
      <c r="C106" s="124">
        <v>53.947027343750001</v>
      </c>
      <c r="D106" s="124">
        <v>142.965220703125</v>
      </c>
      <c r="E106" s="124">
        <v>6.146352767944336E-2</v>
      </c>
      <c r="F106" s="125">
        <v>20.78939453125</v>
      </c>
      <c r="G106" s="126" t="s">
        <v>361</v>
      </c>
    </row>
    <row r="107" spans="1:7" x14ac:dyDescent="0.25">
      <c r="A107" s="123" t="s">
        <v>161</v>
      </c>
      <c r="B107" s="124">
        <v>16.465013671874999</v>
      </c>
      <c r="C107" s="124">
        <v>0.17824674224853515</v>
      </c>
      <c r="D107" s="124">
        <v>1.1319761633872986E-2</v>
      </c>
      <c r="E107" s="124">
        <v>2.7872849464416503E-2</v>
      </c>
      <c r="F107" s="125">
        <v>4.3265899658203127E-2</v>
      </c>
      <c r="G107" s="126" t="s">
        <v>356</v>
      </c>
    </row>
    <row r="108" spans="1:7" x14ac:dyDescent="0.25">
      <c r="A108" s="123" t="s">
        <v>160</v>
      </c>
      <c r="B108" s="124">
        <v>3.5684499511718748</v>
      </c>
      <c r="C108" s="124">
        <v>1.8904153108596801E-3</v>
      </c>
      <c r="D108" s="124">
        <v>3.1741242885589598E-2</v>
      </c>
      <c r="E108" s="124">
        <v>5.1439857110381123E-5</v>
      </c>
      <c r="F108" s="125">
        <v>8.8808685541152954E-4</v>
      </c>
      <c r="G108" s="127" t="s">
        <v>366</v>
      </c>
    </row>
    <row r="109" spans="1:7" x14ac:dyDescent="0.25">
      <c r="A109" s="123" t="s">
        <v>33</v>
      </c>
      <c r="B109" s="124">
        <v>520.10217187499995</v>
      </c>
      <c r="C109" s="124">
        <v>9.9453325195312505</v>
      </c>
      <c r="D109" s="124">
        <v>0.25102162647247317</v>
      </c>
      <c r="E109" s="124">
        <v>0.58715573120117193</v>
      </c>
      <c r="F109" s="125">
        <v>0.64651144409179684</v>
      </c>
      <c r="G109" s="126" t="s">
        <v>356</v>
      </c>
    </row>
    <row r="110" spans="1:7" x14ac:dyDescent="0.25">
      <c r="A110" s="123" t="s">
        <v>32</v>
      </c>
      <c r="B110" s="124">
        <v>5030.6262500000003</v>
      </c>
      <c r="C110" s="124">
        <v>59.515271484374999</v>
      </c>
      <c r="D110" s="124">
        <v>24.049413085937498</v>
      </c>
      <c r="E110" s="124">
        <v>1.5242736206054688</v>
      </c>
      <c r="F110" s="125">
        <v>41.400556640624998</v>
      </c>
      <c r="G110" s="126" t="s">
        <v>356</v>
      </c>
    </row>
    <row r="111" spans="1:7" x14ac:dyDescent="0.25">
      <c r="A111" s="123" t="s">
        <v>80</v>
      </c>
      <c r="B111" s="124">
        <v>9655.5030000000006</v>
      </c>
      <c r="C111" s="124">
        <v>316.16108593749999</v>
      </c>
      <c r="D111" s="124">
        <v>2166.8176874999999</v>
      </c>
      <c r="E111" s="124">
        <v>18.265567382812499</v>
      </c>
      <c r="F111" s="125">
        <v>115.48083203125</v>
      </c>
      <c r="G111" s="126" t="s">
        <v>353</v>
      </c>
    </row>
    <row r="112" spans="1:7" x14ac:dyDescent="0.25">
      <c r="A112" s="123" t="s">
        <v>79</v>
      </c>
      <c r="B112" s="124">
        <v>13710.572</v>
      </c>
      <c r="C112" s="124">
        <v>225.56424999999999</v>
      </c>
      <c r="D112" s="124">
        <v>589.50079687499999</v>
      </c>
      <c r="E112" s="124">
        <v>121.1706796875</v>
      </c>
      <c r="F112" s="125">
        <v>179.06957031249999</v>
      </c>
      <c r="G112" s="126" t="s">
        <v>353</v>
      </c>
    </row>
    <row r="113" spans="1:7" x14ac:dyDescent="0.25">
      <c r="A113" s="123" t="s">
        <v>158</v>
      </c>
      <c r="B113" s="124">
        <v>600.758375</v>
      </c>
      <c r="C113" s="124">
        <v>17.630492675781252</v>
      </c>
      <c r="D113" s="124">
        <v>283.73295312499999</v>
      </c>
      <c r="E113" s="124">
        <v>1.0334275245666503E-2</v>
      </c>
      <c r="F113" s="125">
        <v>2.8309594726562501</v>
      </c>
      <c r="G113" s="126" t="s">
        <v>361</v>
      </c>
    </row>
    <row r="114" spans="1:7" x14ac:dyDescent="0.25">
      <c r="A114" s="123" t="s">
        <v>78</v>
      </c>
      <c r="B114" s="124">
        <v>7837.1504999999997</v>
      </c>
      <c r="C114" s="124">
        <v>144.68544140624999</v>
      </c>
      <c r="D114" s="124">
        <v>19.647270996093749</v>
      </c>
      <c r="E114" s="124">
        <v>85.955675781249994</v>
      </c>
      <c r="F114" s="125">
        <v>165.55152343750001</v>
      </c>
      <c r="G114" s="126" t="s">
        <v>353</v>
      </c>
    </row>
    <row r="115" spans="1:7" x14ac:dyDescent="0.25">
      <c r="A115" s="123" t="s">
        <v>156</v>
      </c>
      <c r="B115" s="124">
        <v>1867.954375</v>
      </c>
      <c r="C115" s="124">
        <v>0.91624987792968748</v>
      </c>
      <c r="D115" s="124">
        <v>3.2068141479492187</v>
      </c>
      <c r="E115" s="124">
        <v>5.6373653411865232E-2</v>
      </c>
      <c r="F115" s="125">
        <v>1.3214063110351562</v>
      </c>
      <c r="G115" s="126" t="s">
        <v>366</v>
      </c>
    </row>
    <row r="116" spans="1:7" x14ac:dyDescent="0.25">
      <c r="A116" s="123" t="s">
        <v>155</v>
      </c>
      <c r="B116" s="124">
        <v>470.33212500000002</v>
      </c>
      <c r="C116" s="124">
        <v>0.33018989562988282</v>
      </c>
      <c r="D116" s="124">
        <v>0.30936098861694333</v>
      </c>
      <c r="E116" s="124">
        <v>0</v>
      </c>
      <c r="F116" s="125">
        <v>0.40631216430664063</v>
      </c>
      <c r="G116" s="126" t="s">
        <v>366</v>
      </c>
    </row>
    <row r="117" spans="1:7" x14ac:dyDescent="0.25">
      <c r="A117" s="123" t="s">
        <v>31</v>
      </c>
      <c r="B117" s="124">
        <v>941.34165625000003</v>
      </c>
      <c r="C117" s="124">
        <v>9.5049348144531258</v>
      </c>
      <c r="D117" s="124">
        <v>7.6778122558593749</v>
      </c>
      <c r="E117" s="124">
        <v>0</v>
      </c>
      <c r="F117" s="125">
        <v>6.5671855468749998</v>
      </c>
      <c r="G117" s="126" t="s">
        <v>356</v>
      </c>
    </row>
    <row r="118" spans="1:7" x14ac:dyDescent="0.25">
      <c r="A118" s="123" t="s">
        <v>77</v>
      </c>
      <c r="B118" s="124">
        <v>9995.2294999999995</v>
      </c>
      <c r="C118" s="124">
        <v>118.47408593750001</v>
      </c>
      <c r="D118" s="124">
        <v>80.565332031249994</v>
      </c>
      <c r="E118" s="124">
        <v>170.29762500000001</v>
      </c>
      <c r="F118" s="125">
        <v>389.70809374999999</v>
      </c>
      <c r="G118" s="126" t="s">
        <v>353</v>
      </c>
    </row>
    <row r="119" spans="1:7" x14ac:dyDescent="0.25">
      <c r="A119" s="123" t="s">
        <v>110</v>
      </c>
      <c r="B119" s="124">
        <v>77690.316000000006</v>
      </c>
      <c r="C119" s="124">
        <v>2198.6662500000002</v>
      </c>
      <c r="D119" s="124">
        <v>4860.2545</v>
      </c>
      <c r="E119" s="124">
        <v>4141.7725</v>
      </c>
      <c r="F119" s="125">
        <v>6342.4347500000003</v>
      </c>
      <c r="G119" s="126" t="s">
        <v>823</v>
      </c>
    </row>
    <row r="120" spans="1:7" x14ac:dyDescent="0.25">
      <c r="A120" s="123" t="s">
        <v>153</v>
      </c>
      <c r="B120" s="124">
        <v>543.35448437499997</v>
      </c>
      <c r="C120" s="124">
        <v>0.23331359863281251</v>
      </c>
      <c r="D120" s="124">
        <v>0.69809042358398432</v>
      </c>
      <c r="E120" s="124">
        <v>1.8899247981607914E-5</v>
      </c>
      <c r="F120" s="125">
        <v>0.23675361633300782</v>
      </c>
      <c r="G120" s="126" t="s">
        <v>366</v>
      </c>
    </row>
    <row r="121" spans="1:7" x14ac:dyDescent="0.25">
      <c r="A121" s="123" t="s">
        <v>152</v>
      </c>
      <c r="B121" s="124">
        <v>294.75342968749999</v>
      </c>
      <c r="C121" s="124">
        <v>0.70601712036132813</v>
      </c>
      <c r="D121" s="124">
        <v>1.6492896575927734</v>
      </c>
      <c r="E121" s="124">
        <v>6.6061062812805176E-3</v>
      </c>
      <c r="F121" s="125">
        <v>0.22499365234374999</v>
      </c>
      <c r="G121" s="126" t="s">
        <v>366</v>
      </c>
    </row>
    <row r="122" spans="1:7" x14ac:dyDescent="0.25">
      <c r="A122" s="123" t="s">
        <v>151</v>
      </c>
      <c r="B122" s="124">
        <v>40560.76</v>
      </c>
      <c r="C122" s="124">
        <v>1446.1398125000001</v>
      </c>
      <c r="D122" s="124">
        <v>101.569568359375</v>
      </c>
      <c r="E122" s="124">
        <v>866.37046874999999</v>
      </c>
      <c r="F122" s="125">
        <v>1820.1131875000001</v>
      </c>
      <c r="G122" s="126" t="s">
        <v>823</v>
      </c>
    </row>
    <row r="123" spans="1:7" x14ac:dyDescent="0.25">
      <c r="A123" s="123" t="s">
        <v>149</v>
      </c>
      <c r="B123" s="124">
        <v>466.59721875000002</v>
      </c>
      <c r="C123" s="124">
        <v>2.2267882690429688</v>
      </c>
      <c r="D123" s="124">
        <v>23.302902832031251</v>
      </c>
      <c r="E123" s="124">
        <v>1.5764933195896447E-6</v>
      </c>
      <c r="F123" s="125">
        <v>0.27708375549316405</v>
      </c>
      <c r="G123" s="126" t="s">
        <v>361</v>
      </c>
    </row>
    <row r="124" spans="1:7" x14ac:dyDescent="0.25">
      <c r="A124" s="123" t="s">
        <v>109</v>
      </c>
      <c r="B124" s="124">
        <v>1699.4130625</v>
      </c>
      <c r="C124" s="124">
        <v>54.706654296875001</v>
      </c>
      <c r="D124" s="124">
        <v>26.3179560546875</v>
      </c>
      <c r="E124" s="124">
        <v>16.81471484375</v>
      </c>
      <c r="F124" s="125">
        <v>38.404672851562502</v>
      </c>
      <c r="G124" s="126" t="s">
        <v>356</v>
      </c>
    </row>
    <row r="125" spans="1:7" x14ac:dyDescent="0.25">
      <c r="A125" s="123" t="s">
        <v>27</v>
      </c>
      <c r="B125" s="124">
        <v>974.72771875000001</v>
      </c>
      <c r="C125" s="124">
        <v>14.361802246093751</v>
      </c>
      <c r="D125" s="124">
        <v>17.899273925781252</v>
      </c>
      <c r="E125" s="124">
        <v>0</v>
      </c>
      <c r="F125" s="125">
        <v>1.2684061279296874</v>
      </c>
      <c r="G125" s="126" t="s">
        <v>356</v>
      </c>
    </row>
    <row r="126" spans="1:7" x14ac:dyDescent="0.25">
      <c r="A126" s="123" t="s">
        <v>148</v>
      </c>
      <c r="B126" s="124">
        <v>4764.1997499999998</v>
      </c>
      <c r="C126" s="124">
        <v>105.06483203125001</v>
      </c>
      <c r="D126" s="124">
        <v>123.84713671874999</v>
      </c>
      <c r="E126" s="124">
        <v>0</v>
      </c>
      <c r="F126" s="125">
        <v>22.058978515625</v>
      </c>
      <c r="G126" s="126" t="s">
        <v>361</v>
      </c>
    </row>
    <row r="127" spans="1:7" x14ac:dyDescent="0.25">
      <c r="A127" s="123" t="s">
        <v>26</v>
      </c>
      <c r="B127" s="124">
        <v>16179.663500000001</v>
      </c>
      <c r="C127" s="124">
        <v>982.33262500000001</v>
      </c>
      <c r="D127" s="124">
        <v>3.5863845825195311</v>
      </c>
      <c r="E127" s="124">
        <v>18.931904296875</v>
      </c>
      <c r="F127" s="125">
        <v>95.629609375000001</v>
      </c>
      <c r="G127" s="126" t="s">
        <v>356</v>
      </c>
    </row>
    <row r="128" spans="1:7" x14ac:dyDescent="0.25">
      <c r="A128" s="123" t="s">
        <v>147</v>
      </c>
      <c r="B128" s="124">
        <v>5703.0879999999997</v>
      </c>
      <c r="C128" s="124">
        <v>14.7719140625</v>
      </c>
      <c r="D128" s="124">
        <v>5.4754208984375001</v>
      </c>
      <c r="E128" s="124">
        <v>3.7986007332801818E-4</v>
      </c>
      <c r="F128" s="125">
        <v>1.7105703735351563</v>
      </c>
      <c r="G128" s="126" t="s">
        <v>366</v>
      </c>
    </row>
    <row r="129" spans="1:7" x14ac:dyDescent="0.25">
      <c r="A129" s="123" t="s">
        <v>146</v>
      </c>
      <c r="B129" s="124">
        <v>1425.7094999999999</v>
      </c>
      <c r="C129" s="124">
        <v>4.9196107177734376</v>
      </c>
      <c r="D129" s="124">
        <v>20.400465332031249</v>
      </c>
      <c r="E129" s="124">
        <v>3.0797400511801245E-5</v>
      </c>
      <c r="F129" s="125">
        <v>0.31858418273925782</v>
      </c>
      <c r="G129" s="126" t="s">
        <v>366</v>
      </c>
    </row>
    <row r="130" spans="1:7" x14ac:dyDescent="0.25">
      <c r="A130" s="123" t="s">
        <v>145</v>
      </c>
      <c r="B130" s="124">
        <v>78.72998046875</v>
      </c>
      <c r="C130" s="124">
        <v>0.59649188232421879</v>
      </c>
      <c r="D130" s="124">
        <v>0.88438423156738277</v>
      </c>
      <c r="E130" s="124">
        <v>1.4856682300567628E-2</v>
      </c>
      <c r="F130" s="125">
        <v>7.0831268310546869E-2</v>
      </c>
      <c r="G130" s="126" t="s">
        <v>366</v>
      </c>
    </row>
    <row r="131" spans="1:7" x14ac:dyDescent="0.25">
      <c r="A131" s="123" t="s">
        <v>144</v>
      </c>
      <c r="B131" s="124">
        <v>6164.7674999999999</v>
      </c>
      <c r="C131" s="124">
        <v>58.312466796875</v>
      </c>
      <c r="D131" s="124">
        <v>5.1307795410156247</v>
      </c>
      <c r="E131" s="124">
        <v>1.4089756458997727E-4</v>
      </c>
      <c r="F131" s="125">
        <v>0.78093353271484378</v>
      </c>
      <c r="G131" s="126" t="s">
        <v>366</v>
      </c>
    </row>
    <row r="132" spans="1:7" x14ac:dyDescent="0.25">
      <c r="A132" s="123" t="s">
        <v>143</v>
      </c>
      <c r="B132" s="124">
        <v>820.04346874999999</v>
      </c>
      <c r="C132" s="124">
        <v>17.313113037109375</v>
      </c>
      <c r="D132" s="124">
        <v>3.2386684570312498</v>
      </c>
      <c r="E132" s="124">
        <v>6.7940706014633174E-4</v>
      </c>
      <c r="F132" s="125">
        <v>0.22971371459960938</v>
      </c>
      <c r="G132" s="126" t="s">
        <v>356</v>
      </c>
    </row>
    <row r="133" spans="1:7" x14ac:dyDescent="0.25">
      <c r="A133" s="123" t="s">
        <v>142</v>
      </c>
      <c r="B133" s="124">
        <v>3842.1791250000001</v>
      </c>
      <c r="C133" s="124">
        <v>47.875613281249997</v>
      </c>
      <c r="D133" s="124">
        <v>11.42459716796875</v>
      </c>
      <c r="E133" s="124">
        <v>0</v>
      </c>
      <c r="F133" s="125">
        <v>1.4473108520507814</v>
      </c>
      <c r="G133" s="126" t="s">
        <v>361</v>
      </c>
    </row>
    <row r="134" spans="1:7" x14ac:dyDescent="0.25">
      <c r="A134" s="123" t="s">
        <v>141</v>
      </c>
      <c r="B134" s="124">
        <v>40347.872000000003</v>
      </c>
      <c r="C134" s="124">
        <v>935.59640624999997</v>
      </c>
      <c r="D134" s="124">
        <v>532.85657031250003</v>
      </c>
      <c r="E134" s="124">
        <v>0.16226782608032225</v>
      </c>
      <c r="F134" s="125">
        <v>5.2843957519531246</v>
      </c>
      <c r="G134" s="126" t="s">
        <v>361</v>
      </c>
    </row>
    <row r="135" spans="1:7" x14ac:dyDescent="0.25">
      <c r="A135" s="123" t="s">
        <v>76</v>
      </c>
      <c r="B135" s="124">
        <v>5404.41525</v>
      </c>
      <c r="C135" s="124">
        <v>186.9339921875</v>
      </c>
      <c r="D135" s="124">
        <v>557.48667187499996</v>
      </c>
      <c r="E135" s="124">
        <v>10.98536181640625</v>
      </c>
      <c r="F135" s="125">
        <v>39.834314453125003</v>
      </c>
      <c r="G135" s="126" t="s">
        <v>353</v>
      </c>
    </row>
    <row r="136" spans="1:7" x14ac:dyDescent="0.25">
      <c r="A136" s="123" t="s">
        <v>139</v>
      </c>
      <c r="B136" s="124">
        <v>24.8474462890625</v>
      </c>
      <c r="C136" s="124">
        <v>2.5058988571166993E-2</v>
      </c>
      <c r="D136" s="124">
        <v>0.23798558807373046</v>
      </c>
      <c r="E136" s="124">
        <v>3.3813255129189201E-10</v>
      </c>
      <c r="F136" s="125">
        <v>2.6769991397857667E-2</v>
      </c>
      <c r="G136" s="126" t="s">
        <v>361</v>
      </c>
    </row>
    <row r="137" spans="1:7" x14ac:dyDescent="0.25">
      <c r="A137" s="123" t="s">
        <v>138</v>
      </c>
      <c r="B137" s="124">
        <v>22.210418945312501</v>
      </c>
      <c r="C137" s="124">
        <v>4.7055088043212893E-2</v>
      </c>
      <c r="D137" s="124">
        <v>1.5398036499023438</v>
      </c>
      <c r="E137" s="124">
        <v>7.6475214882520964E-8</v>
      </c>
      <c r="F137" s="125">
        <v>9.0543365478515624E-3</v>
      </c>
      <c r="G137" s="126" t="s">
        <v>361</v>
      </c>
    </row>
    <row r="138" spans="1:7" x14ac:dyDescent="0.25">
      <c r="A138" s="123" t="s">
        <v>25</v>
      </c>
      <c r="B138" s="124">
        <v>30.727201171874999</v>
      </c>
      <c r="C138" s="124">
        <v>0.12093446731567382</v>
      </c>
      <c r="D138" s="124">
        <v>1.8288445472717286E-2</v>
      </c>
      <c r="E138" s="124">
        <v>0.11736339569091797</v>
      </c>
      <c r="F138" s="125">
        <v>0.15660741806030273</v>
      </c>
      <c r="G138" s="126" t="s">
        <v>356</v>
      </c>
    </row>
    <row r="139" spans="1:7" x14ac:dyDescent="0.25">
      <c r="A139" s="123" t="s">
        <v>137</v>
      </c>
      <c r="B139" s="124">
        <v>3.1679919433593748</v>
      </c>
      <c r="C139" s="124">
        <v>4.8380543291568759E-4</v>
      </c>
      <c r="D139" s="124">
        <v>4.5779676437377927E-3</v>
      </c>
      <c r="E139" s="124">
        <v>2.0738776074722411E-6</v>
      </c>
      <c r="F139" s="125">
        <v>1.1756631731986999E-3</v>
      </c>
      <c r="G139" s="126" t="s">
        <v>366</v>
      </c>
    </row>
    <row r="140" spans="1:7" x14ac:dyDescent="0.25">
      <c r="A140" s="123" t="s">
        <v>108</v>
      </c>
      <c r="B140" s="124">
        <v>50.667634765625003</v>
      </c>
      <c r="C140" s="124">
        <v>1.6122741088867187</v>
      </c>
      <c r="D140" s="124">
        <v>4.4310113906860349E-2</v>
      </c>
      <c r="E140" s="124">
        <v>2.0828974609375002</v>
      </c>
      <c r="F140" s="125">
        <v>2.4719266357421876</v>
      </c>
      <c r="G140" s="126" t="s">
        <v>356</v>
      </c>
    </row>
    <row r="141" spans="1:7" x14ac:dyDescent="0.25">
      <c r="A141" s="123" t="s">
        <v>136</v>
      </c>
      <c r="B141" s="124">
        <v>3561.4614999999999</v>
      </c>
      <c r="C141" s="124">
        <v>29.479096679687501</v>
      </c>
      <c r="D141" s="124">
        <v>2.5281782226562499</v>
      </c>
      <c r="E141" s="124">
        <v>0.12198059844970703</v>
      </c>
      <c r="F141" s="125">
        <v>3.9329635009765624</v>
      </c>
      <c r="G141" s="126" t="s">
        <v>366</v>
      </c>
    </row>
    <row r="142" spans="1:7" x14ac:dyDescent="0.25">
      <c r="A142" s="123" t="s">
        <v>23</v>
      </c>
      <c r="B142" s="124">
        <v>4481.8739999999998</v>
      </c>
      <c r="C142" s="124">
        <v>157.27703906249999</v>
      </c>
      <c r="D142" s="124">
        <v>50.178560546874998</v>
      </c>
      <c r="E142" s="124">
        <v>32.836164062500004</v>
      </c>
      <c r="F142" s="125">
        <v>91.459894531250001</v>
      </c>
      <c r="G142" s="126" t="s">
        <v>356</v>
      </c>
    </row>
    <row r="143" spans="1:7" x14ac:dyDescent="0.25">
      <c r="A143" s="123" t="s">
        <v>850</v>
      </c>
      <c r="B143" s="124">
        <v>1767.0054375</v>
      </c>
      <c r="C143" s="124">
        <v>5.6217476806640629</v>
      </c>
      <c r="D143" s="124">
        <v>2.5435823974609373</v>
      </c>
      <c r="E143" s="124">
        <v>2.060820484161377E-2</v>
      </c>
      <c r="F143" s="125">
        <v>0.68761074829101565</v>
      </c>
      <c r="G143" s="126" t="s">
        <v>361</v>
      </c>
    </row>
    <row r="144" spans="1:7" x14ac:dyDescent="0.25">
      <c r="A144" s="123" t="s">
        <v>75</v>
      </c>
      <c r="B144" s="124">
        <v>4444.02225</v>
      </c>
      <c r="C144" s="124">
        <v>142.55344140624999</v>
      </c>
      <c r="D144" s="124">
        <v>86.414863281250007</v>
      </c>
      <c r="E144" s="124">
        <v>23.579233398437498</v>
      </c>
      <c r="F144" s="125">
        <v>85.982339843749997</v>
      </c>
      <c r="G144" s="126" t="s">
        <v>353</v>
      </c>
    </row>
    <row r="145" spans="1:7" x14ac:dyDescent="0.25">
      <c r="A145" s="123" t="s">
        <v>133</v>
      </c>
      <c r="B145" s="124">
        <v>450.59834375000003</v>
      </c>
      <c r="C145" s="124">
        <v>1.650521484375</v>
      </c>
      <c r="D145" s="124">
        <v>2.2305242309570312</v>
      </c>
      <c r="E145" s="124">
        <v>7.5629323720932012E-4</v>
      </c>
      <c r="F145" s="125">
        <v>0.15807688903808595</v>
      </c>
      <c r="G145" s="126" t="s">
        <v>366</v>
      </c>
    </row>
    <row r="146" spans="1:7" x14ac:dyDescent="0.25">
      <c r="A146" s="123" t="s">
        <v>132</v>
      </c>
      <c r="B146" s="124">
        <v>826.30140625000001</v>
      </c>
      <c r="C146" s="124">
        <v>1.0277832641601563</v>
      </c>
      <c r="D146" s="124">
        <v>0.15116485595703125</v>
      </c>
      <c r="E146" s="124">
        <v>4.3602470308542254E-5</v>
      </c>
      <c r="F146" s="125">
        <v>0.21788767242431642</v>
      </c>
      <c r="G146" s="126" t="s">
        <v>366</v>
      </c>
    </row>
    <row r="147" spans="1:7" x14ac:dyDescent="0.25">
      <c r="A147" s="123" t="s">
        <v>131</v>
      </c>
      <c r="B147" s="124">
        <v>279.65192187500003</v>
      </c>
      <c r="C147" s="124">
        <v>0.27293083190917966</v>
      </c>
      <c r="D147" s="124">
        <v>8.8766645908355715E-2</v>
      </c>
      <c r="E147" s="124">
        <v>1.9952730536460877E-3</v>
      </c>
      <c r="F147" s="125">
        <v>0.10751518630981445</v>
      </c>
      <c r="G147" s="126" t="s">
        <v>366</v>
      </c>
    </row>
    <row r="148" spans="1:7" x14ac:dyDescent="0.25">
      <c r="A148" s="123" t="s">
        <v>74</v>
      </c>
      <c r="B148" s="124">
        <v>88.745925781249994</v>
      </c>
      <c r="C148" s="124">
        <v>2.1605541381835938</v>
      </c>
      <c r="D148" s="124">
        <v>4.3182063102722171E-2</v>
      </c>
      <c r="E148" s="124">
        <v>0.32492759704589846</v>
      </c>
      <c r="F148" s="125">
        <v>0.91630194091796879</v>
      </c>
      <c r="G148" s="126" t="s">
        <v>356</v>
      </c>
    </row>
    <row r="149" spans="1:7" x14ac:dyDescent="0.25">
      <c r="A149" s="123" t="s">
        <v>130</v>
      </c>
      <c r="B149" s="124">
        <v>5472.4775</v>
      </c>
      <c r="C149" s="124">
        <v>101.55002734375</v>
      </c>
      <c r="D149" s="124">
        <v>35.416080078124999</v>
      </c>
      <c r="E149" s="124">
        <v>367.31956250000002</v>
      </c>
      <c r="F149" s="125">
        <v>565.39300000000003</v>
      </c>
      <c r="G149" s="126" t="s">
        <v>353</v>
      </c>
    </row>
    <row r="150" spans="1:7" x14ac:dyDescent="0.25">
      <c r="A150" s="123" t="s">
        <v>129</v>
      </c>
      <c r="B150" s="124">
        <v>20988.18</v>
      </c>
      <c r="C150" s="124">
        <v>1142.7541874999999</v>
      </c>
      <c r="D150" s="124">
        <v>8545.3957499999997</v>
      </c>
      <c r="E150" s="124">
        <v>4.4974746093749998</v>
      </c>
      <c r="F150" s="125">
        <v>41.815144531249999</v>
      </c>
      <c r="G150" s="126" t="s">
        <v>361</v>
      </c>
    </row>
    <row r="151" spans="1:7" x14ac:dyDescent="0.25">
      <c r="A151" s="123" t="s">
        <v>128</v>
      </c>
      <c r="B151" s="124">
        <v>4858.1615000000002</v>
      </c>
      <c r="C151" s="124">
        <v>6.4726873779296872</v>
      </c>
      <c r="D151" s="124">
        <v>47.356250000000003</v>
      </c>
      <c r="E151" s="124">
        <v>3.5279734373092654E-2</v>
      </c>
      <c r="F151" s="125">
        <v>2.9500092773437498</v>
      </c>
      <c r="G151" s="126" t="s">
        <v>366</v>
      </c>
    </row>
    <row r="152" spans="1:7" x14ac:dyDescent="0.25">
      <c r="A152" s="123" t="s">
        <v>22</v>
      </c>
      <c r="B152" s="124">
        <v>4668.7667499999998</v>
      </c>
      <c r="C152" s="124">
        <v>46.150761718749997</v>
      </c>
      <c r="D152" s="124">
        <v>3.7941782836914064</v>
      </c>
      <c r="E152" s="124">
        <v>0.51691091918945309</v>
      </c>
      <c r="F152" s="125">
        <v>2.6864356689453124</v>
      </c>
      <c r="G152" s="126" t="s">
        <v>356</v>
      </c>
    </row>
    <row r="153" spans="1:7" x14ac:dyDescent="0.25">
      <c r="A153" s="123" t="s">
        <v>21</v>
      </c>
      <c r="B153" s="124">
        <v>14016.941500000001</v>
      </c>
      <c r="C153" s="124">
        <v>523.07737499999996</v>
      </c>
      <c r="D153" s="124">
        <v>626.73471874999996</v>
      </c>
      <c r="E153" s="124">
        <v>160.27742187499999</v>
      </c>
      <c r="F153" s="125">
        <v>446.37126562499998</v>
      </c>
      <c r="G153" s="126" t="s">
        <v>356</v>
      </c>
    </row>
    <row r="154" spans="1:7" x14ac:dyDescent="0.25">
      <c r="A154" s="123" t="s">
        <v>127</v>
      </c>
      <c r="B154" s="124">
        <v>95.478449218750001</v>
      </c>
      <c r="C154" s="124">
        <v>0.24616070556640626</v>
      </c>
      <c r="D154" s="124">
        <v>5.0044631347656248</v>
      </c>
      <c r="E154" s="124">
        <v>1.8585025682114064E-6</v>
      </c>
      <c r="F154" s="125">
        <v>4.3692541122436521E-2</v>
      </c>
      <c r="G154" s="126" t="s">
        <v>361</v>
      </c>
    </row>
    <row r="155" spans="1:7" x14ac:dyDescent="0.25">
      <c r="A155" s="123" t="s">
        <v>20</v>
      </c>
      <c r="B155" s="124">
        <v>566.64765624999995</v>
      </c>
      <c r="C155" s="124">
        <v>20.306925292968749</v>
      </c>
      <c r="D155" s="124">
        <v>268.55494531250002</v>
      </c>
      <c r="E155" s="124">
        <v>0.20102362060546874</v>
      </c>
      <c r="F155" s="125">
        <v>1.818377685546875</v>
      </c>
      <c r="G155" s="126" t="s">
        <v>356</v>
      </c>
    </row>
    <row r="156" spans="1:7" x14ac:dyDescent="0.25">
      <c r="A156" s="123" t="s">
        <v>126</v>
      </c>
      <c r="B156" s="124">
        <v>1032.7619374999999</v>
      </c>
      <c r="C156" s="124">
        <v>0.4819955749511719</v>
      </c>
      <c r="D156" s="124">
        <v>2.1567775268554685</v>
      </c>
      <c r="E156" s="124">
        <v>1.9196792244911194E-3</v>
      </c>
      <c r="F156" s="125">
        <v>0.48279507446289061</v>
      </c>
      <c r="G156" s="126" t="s">
        <v>366</v>
      </c>
    </row>
    <row r="157" spans="1:7" x14ac:dyDescent="0.25">
      <c r="A157" s="123" t="s">
        <v>125</v>
      </c>
      <c r="B157" s="124">
        <v>794.27203125000005</v>
      </c>
      <c r="C157" s="124">
        <v>0.27619190979003905</v>
      </c>
      <c r="D157" s="124">
        <v>4.8218170166015621</v>
      </c>
      <c r="E157" s="124">
        <v>4.0119430422782897E-4</v>
      </c>
      <c r="F157" s="125">
        <v>0.30197140502929687</v>
      </c>
      <c r="G157" s="126" t="s">
        <v>366</v>
      </c>
    </row>
    <row r="158" spans="1:7" x14ac:dyDescent="0.25">
      <c r="A158" s="123" t="s">
        <v>19</v>
      </c>
      <c r="B158" s="124">
        <v>2511.9746249999998</v>
      </c>
      <c r="C158" s="124">
        <v>24.010694335937501</v>
      </c>
      <c r="D158" s="124">
        <v>0.25404444885253907</v>
      </c>
      <c r="E158" s="124">
        <v>0.17508959197998047</v>
      </c>
      <c r="F158" s="125">
        <v>4.2146781005859371</v>
      </c>
      <c r="G158" s="126" t="s">
        <v>356</v>
      </c>
    </row>
    <row r="159" spans="1:7" x14ac:dyDescent="0.25">
      <c r="A159" s="123" t="s">
        <v>72</v>
      </c>
      <c r="B159" s="124">
        <v>1616.83025</v>
      </c>
      <c r="C159" s="124">
        <v>45.686039062500001</v>
      </c>
      <c r="D159" s="124">
        <v>5.1501297607421872</v>
      </c>
      <c r="E159" s="124">
        <v>6.5694401264190672E-3</v>
      </c>
      <c r="F159" s="125">
        <v>1.1036435546875001</v>
      </c>
      <c r="G159" s="126" t="s">
        <v>353</v>
      </c>
    </row>
    <row r="160" spans="1:7" x14ac:dyDescent="0.25">
      <c r="A160" s="123" t="s">
        <v>18</v>
      </c>
      <c r="B160" s="124">
        <v>12841.708000000001</v>
      </c>
      <c r="C160" s="124">
        <v>312.85348437499999</v>
      </c>
      <c r="D160" s="124">
        <v>1578.9015625</v>
      </c>
      <c r="E160" s="124">
        <v>0.47947427368164064</v>
      </c>
      <c r="F160" s="125">
        <v>11.69173046875</v>
      </c>
      <c r="G160" s="126" t="s">
        <v>361</v>
      </c>
    </row>
    <row r="161" spans="1:7" x14ac:dyDescent="0.25">
      <c r="A161" s="123" t="s">
        <v>124</v>
      </c>
      <c r="B161" s="124">
        <v>340.62239062499998</v>
      </c>
      <c r="C161" s="124">
        <v>1.4547972717285156</v>
      </c>
      <c r="D161" s="124">
        <v>0.11908265161514282</v>
      </c>
      <c r="E161" s="124">
        <v>9.9155483767390247E-6</v>
      </c>
      <c r="F161" s="125">
        <v>8.3589141845703124E-2</v>
      </c>
      <c r="G161" s="126" t="s">
        <v>361</v>
      </c>
    </row>
    <row r="162" spans="1:7" x14ac:dyDescent="0.25">
      <c r="A162" s="123" t="s">
        <v>17</v>
      </c>
      <c r="B162" s="124">
        <v>284.65744531249999</v>
      </c>
      <c r="C162" s="124">
        <v>17.642068359374999</v>
      </c>
      <c r="D162" s="124">
        <v>0.2098570213317871</v>
      </c>
      <c r="E162" s="124">
        <v>1.7271062622070312</v>
      </c>
      <c r="F162" s="125">
        <v>4.5563139648437501</v>
      </c>
      <c r="G162" s="126" t="s">
        <v>356</v>
      </c>
    </row>
    <row r="163" spans="1:7" x14ac:dyDescent="0.25">
      <c r="A163" s="123" t="s">
        <v>70</v>
      </c>
      <c r="B163" s="124">
        <v>2539.8822500000001</v>
      </c>
      <c r="C163" s="124">
        <v>130.91545703125001</v>
      </c>
      <c r="D163" s="124">
        <v>232.73860156250001</v>
      </c>
      <c r="E163" s="124">
        <v>1.2260774536132812</v>
      </c>
      <c r="F163" s="125">
        <v>51.517744140624998</v>
      </c>
      <c r="G163" s="126" t="s">
        <v>353</v>
      </c>
    </row>
    <row r="164" spans="1:7" x14ac:dyDescent="0.25">
      <c r="A164" s="123" t="s">
        <v>16</v>
      </c>
      <c r="B164" s="124">
        <v>14.66451416015625</v>
      </c>
      <c r="C164" s="124">
        <v>6.9189159393310551E-2</v>
      </c>
      <c r="D164" s="124">
        <v>8.0498369932174678E-3</v>
      </c>
      <c r="E164" s="124">
        <v>0.10604257583618164</v>
      </c>
      <c r="F164" s="125">
        <v>0.13106696701049805</v>
      </c>
      <c r="G164" s="126" t="s">
        <v>356</v>
      </c>
    </row>
    <row r="165" spans="1:7" x14ac:dyDescent="0.25">
      <c r="A165" s="123" t="s">
        <v>123</v>
      </c>
      <c r="B165" s="124">
        <v>260.15463281249998</v>
      </c>
      <c r="C165" s="124">
        <v>0.48697560882568358</v>
      </c>
      <c r="D165" s="124">
        <v>18.480559570312501</v>
      </c>
      <c r="E165" s="124">
        <v>1.4444273983826862E-7</v>
      </c>
      <c r="F165" s="125">
        <v>7.5252923965454105E-2</v>
      </c>
      <c r="G165" s="126" t="s">
        <v>366</v>
      </c>
    </row>
    <row r="166" spans="1:7" x14ac:dyDescent="0.25">
      <c r="A166" s="123" t="s">
        <v>15</v>
      </c>
      <c r="B166" s="124">
        <v>1464.6466250000001</v>
      </c>
      <c r="C166" s="124">
        <v>7.0031503906249997</v>
      </c>
      <c r="D166" s="124">
        <v>4.4368598632812501</v>
      </c>
      <c r="E166" s="124">
        <v>2.9796019554138183E-2</v>
      </c>
      <c r="F166" s="125">
        <v>1.4141637573242187</v>
      </c>
      <c r="G166" s="126" t="s">
        <v>361</v>
      </c>
    </row>
    <row r="167" spans="1:7" x14ac:dyDescent="0.25">
      <c r="A167" s="123" t="s">
        <v>122</v>
      </c>
      <c r="B167" s="124">
        <v>10981.157499999999</v>
      </c>
      <c r="C167" s="124">
        <v>68.931371093750002</v>
      </c>
      <c r="D167" s="124">
        <v>3.584660217285156</v>
      </c>
      <c r="E167" s="124">
        <v>10.490402832031251</v>
      </c>
      <c r="F167" s="125">
        <v>22.004966796874999</v>
      </c>
      <c r="G167" s="126" t="s">
        <v>361</v>
      </c>
    </row>
    <row r="168" spans="1:7" x14ac:dyDescent="0.25">
      <c r="A168" s="123" t="s">
        <v>121</v>
      </c>
      <c r="B168" s="124">
        <v>1254.415125</v>
      </c>
      <c r="C168" s="124">
        <v>12.844356201171875</v>
      </c>
      <c r="D168" s="124">
        <v>1.3278348388671875</v>
      </c>
      <c r="E168" s="124">
        <v>7.0516555786132806E-2</v>
      </c>
      <c r="F168" s="125">
        <v>1.4877181091308593</v>
      </c>
      <c r="G168" s="126" t="s">
        <v>356</v>
      </c>
    </row>
    <row r="169" spans="1:7" x14ac:dyDescent="0.25">
      <c r="A169" s="123" t="s">
        <v>69</v>
      </c>
      <c r="B169" s="124">
        <v>14145.8325</v>
      </c>
      <c r="C169" s="124">
        <v>429.12453125000002</v>
      </c>
      <c r="D169" s="124">
        <v>2648.5574999999999</v>
      </c>
      <c r="E169" s="124">
        <v>2.9094635009765626</v>
      </c>
      <c r="F169" s="125">
        <v>129.04372265625</v>
      </c>
      <c r="G169" s="126" t="s">
        <v>353</v>
      </c>
    </row>
    <row r="170" spans="1:7" x14ac:dyDescent="0.25">
      <c r="A170" s="123" t="s">
        <v>11</v>
      </c>
      <c r="B170" s="124">
        <v>11200.423500000001</v>
      </c>
      <c r="C170" s="124">
        <v>252.75468749999999</v>
      </c>
      <c r="D170" s="124">
        <v>361.82218749999998</v>
      </c>
      <c r="E170" s="124">
        <v>0</v>
      </c>
      <c r="F170" s="125">
        <v>2.0034104003906248</v>
      </c>
      <c r="G170" s="126" t="s">
        <v>356</v>
      </c>
    </row>
    <row r="171" spans="1:7" x14ac:dyDescent="0.25">
      <c r="A171" s="123" t="s">
        <v>120</v>
      </c>
      <c r="B171" s="124">
        <v>396.13094531249999</v>
      </c>
      <c r="C171" s="124">
        <v>2.1692659912109375</v>
      </c>
      <c r="D171" s="124">
        <v>3.3222131042480467</v>
      </c>
      <c r="E171" s="124">
        <v>1.1618999481201172E-2</v>
      </c>
      <c r="F171" s="125">
        <v>0.41079974365234373</v>
      </c>
      <c r="G171" s="126" t="s">
        <v>366</v>
      </c>
    </row>
    <row r="172" spans="1:7" x14ac:dyDescent="0.25">
      <c r="A172" s="123" t="s">
        <v>119</v>
      </c>
      <c r="B172" s="124">
        <v>7718.33475</v>
      </c>
      <c r="C172" s="124">
        <v>5.9946064453124999</v>
      </c>
      <c r="D172" s="124">
        <v>20.1488544921875</v>
      </c>
      <c r="E172" s="124">
        <v>1.072804480791092E-2</v>
      </c>
      <c r="F172" s="125">
        <v>3.5156033935546875</v>
      </c>
      <c r="G172" s="126" t="s">
        <v>366</v>
      </c>
    </row>
    <row r="173" spans="1:7" x14ac:dyDescent="0.25">
      <c r="A173" s="123" t="s">
        <v>118</v>
      </c>
      <c r="B173" s="124">
        <v>18189.288</v>
      </c>
      <c r="C173" s="124">
        <v>493.01646875</v>
      </c>
      <c r="D173" s="124">
        <v>3275.7601249999998</v>
      </c>
      <c r="E173" s="124">
        <v>9.3464497070312493</v>
      </c>
      <c r="F173" s="125">
        <v>107.53888281250001</v>
      </c>
      <c r="G173" s="126" t="s">
        <v>353</v>
      </c>
    </row>
    <row r="174" spans="1:7" x14ac:dyDescent="0.25">
      <c r="A174" s="123" t="s">
        <v>117</v>
      </c>
      <c r="B174" s="124">
        <v>41372.129999999997</v>
      </c>
      <c r="C174" s="124">
        <v>9.100084716796875</v>
      </c>
      <c r="D174" s="124">
        <v>367.68142968749999</v>
      </c>
      <c r="E174" s="124">
        <v>3.5106848180294038E-4</v>
      </c>
      <c r="F174" s="125">
        <v>18.715076171875001</v>
      </c>
      <c r="G174" s="126" t="s">
        <v>366</v>
      </c>
    </row>
    <row r="175" spans="1:7" x14ac:dyDescent="0.25">
      <c r="A175" s="123" t="s">
        <v>116</v>
      </c>
      <c r="B175" s="124">
        <v>539.95437500000003</v>
      </c>
      <c r="C175" s="124">
        <v>10.991144531250001</v>
      </c>
      <c r="D175" s="124">
        <v>5.9505793457031251</v>
      </c>
      <c r="E175" s="124">
        <v>0</v>
      </c>
      <c r="F175" s="125">
        <v>0.20990338134765624</v>
      </c>
      <c r="G175" s="126" t="s">
        <v>361</v>
      </c>
    </row>
    <row r="176" spans="1:7" x14ac:dyDescent="0.25">
      <c r="A176" s="123" t="s">
        <v>9</v>
      </c>
      <c r="B176" s="124">
        <v>5155.0372500000003</v>
      </c>
      <c r="C176" s="124">
        <v>104.211669921875</v>
      </c>
      <c r="D176" s="124">
        <v>7.774946044921875</v>
      </c>
      <c r="E176" s="124">
        <v>0.23015960693359375</v>
      </c>
      <c r="F176" s="125">
        <v>3.6970159912109377</v>
      </c>
      <c r="G176" s="126" t="s">
        <v>356</v>
      </c>
    </row>
    <row r="177" spans="1:7" x14ac:dyDescent="0.25">
      <c r="A177" s="123" t="s">
        <v>8</v>
      </c>
      <c r="B177" s="124">
        <v>37.329132812499999</v>
      </c>
      <c r="C177" s="124">
        <v>0.50181124877929684</v>
      </c>
      <c r="D177" s="124">
        <v>5.8810145854949949E-3</v>
      </c>
      <c r="E177" s="124">
        <v>0.58511108398437495</v>
      </c>
      <c r="F177" s="125">
        <v>0.80788302612304685</v>
      </c>
      <c r="G177" s="126" t="s">
        <v>356</v>
      </c>
    </row>
    <row r="178" spans="1:7" x14ac:dyDescent="0.25">
      <c r="A178" s="123" t="s">
        <v>115</v>
      </c>
      <c r="B178" s="124">
        <v>4217.5611250000002</v>
      </c>
      <c r="C178" s="124">
        <v>13.935244628906251</v>
      </c>
      <c r="D178" s="124">
        <v>58.8725400390625</v>
      </c>
      <c r="E178" s="124">
        <v>3.6345522850751876E-5</v>
      </c>
      <c r="F178" s="125">
        <v>4.0270100097656254</v>
      </c>
      <c r="G178" s="126" t="s">
        <v>361</v>
      </c>
    </row>
    <row r="179" spans="1:7" x14ac:dyDescent="0.25">
      <c r="A179" s="123" t="s">
        <v>114</v>
      </c>
      <c r="B179" s="124">
        <v>12849.876</v>
      </c>
      <c r="C179" s="124">
        <v>394.03754687499998</v>
      </c>
      <c r="D179" s="124">
        <v>397.61335156249999</v>
      </c>
      <c r="E179" s="124">
        <v>7.826359375</v>
      </c>
      <c r="F179" s="125">
        <v>21.588275390625</v>
      </c>
      <c r="G179" s="126" t="s">
        <v>356</v>
      </c>
    </row>
    <row r="180" spans="1:7" x14ac:dyDescent="0.25">
      <c r="A180" s="123" t="s">
        <v>107</v>
      </c>
      <c r="B180" s="124">
        <v>7275.9622499999996</v>
      </c>
      <c r="C180" s="124">
        <v>51.790828124999997</v>
      </c>
      <c r="D180" s="124">
        <v>7.4086363525390624</v>
      </c>
      <c r="E180" s="124">
        <v>108.71645703125</v>
      </c>
      <c r="F180" s="125">
        <v>174.000015625</v>
      </c>
      <c r="G180" s="126" t="s">
        <v>356</v>
      </c>
    </row>
    <row r="181" spans="1:7" x14ac:dyDescent="0.25">
      <c r="A181" s="123" t="s">
        <v>68</v>
      </c>
      <c r="B181" s="124">
        <v>7043.5725000000002</v>
      </c>
      <c r="C181" s="124">
        <v>171.28031640624999</v>
      </c>
      <c r="D181" s="124">
        <v>2130.7063750000002</v>
      </c>
      <c r="E181" s="124">
        <v>0.87812728881835933</v>
      </c>
      <c r="F181" s="125">
        <v>33.808896484374998</v>
      </c>
      <c r="G181" s="126" t="s">
        <v>356</v>
      </c>
    </row>
    <row r="182" spans="1:7" x14ac:dyDescent="0.25">
      <c r="A182" s="123" t="s">
        <v>67</v>
      </c>
      <c r="B182" s="124">
        <v>8851.8724999999995</v>
      </c>
      <c r="C182" s="124">
        <v>201.99884765625001</v>
      </c>
      <c r="D182" s="124">
        <v>5009.5704999999998</v>
      </c>
      <c r="E182" s="124">
        <v>0.88110046386718754</v>
      </c>
      <c r="F182" s="125">
        <v>25.072756835937501</v>
      </c>
      <c r="G182" s="128" t="s">
        <v>353</v>
      </c>
    </row>
  </sheetData>
  <autoFilter ref="A1:G182"/>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3:F18"/>
  <sheetViews>
    <sheetView workbookViewId="0">
      <selection activeCell="M26" sqref="M26"/>
    </sheetView>
  </sheetViews>
  <sheetFormatPr defaultRowHeight="15" x14ac:dyDescent="0.25"/>
  <cols>
    <col min="1" max="1" width="20.42578125" customWidth="1"/>
    <col min="2" max="2" width="16" customWidth="1"/>
    <col min="3" max="3" width="12" bestFit="1" customWidth="1"/>
    <col min="4" max="4" width="15.85546875" bestFit="1" customWidth="1"/>
    <col min="5" max="5" width="20.42578125" bestFit="1" customWidth="1"/>
    <col min="6" max="6" width="16.28515625" bestFit="1" customWidth="1"/>
    <col min="7" max="7" width="8.85546875" bestFit="1" customWidth="1"/>
    <col min="8" max="8" width="15" bestFit="1" customWidth="1"/>
    <col min="9" max="9" width="14.140625" bestFit="1" customWidth="1"/>
    <col min="10" max="10" width="15.42578125" bestFit="1" customWidth="1"/>
  </cols>
  <sheetData>
    <row r="3" spans="1:6" x14ac:dyDescent="0.25">
      <c r="A3" s="129" t="s">
        <v>851</v>
      </c>
      <c r="B3" s="116" t="s">
        <v>852</v>
      </c>
      <c r="C3" s="116" t="s">
        <v>853</v>
      </c>
      <c r="D3" s="116" t="s">
        <v>854</v>
      </c>
      <c r="E3" s="116" t="s">
        <v>855</v>
      </c>
      <c r="F3" s="116" t="s">
        <v>856</v>
      </c>
    </row>
    <row r="4" spans="1:6" x14ac:dyDescent="0.25">
      <c r="A4" s="5" t="s">
        <v>366</v>
      </c>
      <c r="B4" s="7">
        <v>132800.2387709961</v>
      </c>
      <c r="C4" s="7">
        <v>209.57160624445976</v>
      </c>
      <c r="D4" s="7">
        <v>659.41645599269873</v>
      </c>
      <c r="E4" s="7">
        <v>10.826922867014298</v>
      </c>
      <c r="F4" s="7">
        <v>69.846905348598938</v>
      </c>
    </row>
    <row r="5" spans="1:6" x14ac:dyDescent="0.25">
      <c r="A5" s="5" t="s">
        <v>353</v>
      </c>
      <c r="B5" s="7">
        <v>317555.70146874996</v>
      </c>
      <c r="C5" s="7">
        <v>9115.549589843753</v>
      </c>
      <c r="D5" s="7">
        <v>27109.926569210053</v>
      </c>
      <c r="E5" s="7">
        <v>2808.8892548191548</v>
      </c>
      <c r="F5" s="7">
        <v>7177.1979729766845</v>
      </c>
    </row>
    <row r="6" spans="1:6" x14ac:dyDescent="0.25">
      <c r="A6" s="5" t="s">
        <v>356</v>
      </c>
      <c r="B6" s="7">
        <v>179105.8355336914</v>
      </c>
      <c r="C6" s="7">
        <v>4128.5815677337641</v>
      </c>
      <c r="D6" s="7">
        <v>8170.4931205749526</v>
      </c>
      <c r="E6" s="7">
        <v>866.03226811531647</v>
      </c>
      <c r="F6" s="7">
        <v>2285.9839547667498</v>
      </c>
    </row>
    <row r="7" spans="1:6" x14ac:dyDescent="0.25">
      <c r="A7" s="5" t="s">
        <v>823</v>
      </c>
      <c r="B7" s="7">
        <v>677136.00599999994</v>
      </c>
      <c r="C7" s="7">
        <v>17220.929625000001</v>
      </c>
      <c r="D7" s="7">
        <v>9525.7339008789058</v>
      </c>
      <c r="E7" s="7">
        <v>11112.150617187501</v>
      </c>
      <c r="F7" s="7">
        <v>20399.36978125</v>
      </c>
    </row>
    <row r="8" spans="1:6" x14ac:dyDescent="0.25">
      <c r="A8" s="5" t="s">
        <v>361</v>
      </c>
      <c r="B8" s="7">
        <v>214331.33714355473</v>
      </c>
      <c r="C8" s="7">
        <v>3513.0503714204433</v>
      </c>
      <c r="D8" s="7">
        <v>12984.549700064303</v>
      </c>
      <c r="E8" s="7">
        <v>22.342988615084579</v>
      </c>
      <c r="F8" s="7">
        <v>249.88146794176095</v>
      </c>
    </row>
    <row r="9" spans="1:6" x14ac:dyDescent="0.25">
      <c r="A9" s="5" t="s">
        <v>697</v>
      </c>
      <c r="B9" s="17">
        <v>1520929.1189169921</v>
      </c>
      <c r="C9" s="17">
        <v>34187.682760242424</v>
      </c>
      <c r="D9" s="17">
        <v>58450.119746720913</v>
      </c>
      <c r="E9" s="17">
        <v>14820.242051604071</v>
      </c>
      <c r="F9" s="17">
        <v>30182.280082283793</v>
      </c>
    </row>
    <row r="10" spans="1:6" x14ac:dyDescent="0.25">
      <c r="A10" s="3" t="s">
        <v>661</v>
      </c>
    </row>
    <row r="12" spans="1:6" x14ac:dyDescent="0.25">
      <c r="B12" t="s">
        <v>857</v>
      </c>
      <c r="C12" t="s">
        <v>853</v>
      </c>
      <c r="D12" t="s">
        <v>854</v>
      </c>
      <c r="E12" t="s">
        <v>855</v>
      </c>
      <c r="F12" t="s">
        <v>856</v>
      </c>
    </row>
    <row r="13" spans="1:6" x14ac:dyDescent="0.25">
      <c r="A13" t="s">
        <v>353</v>
      </c>
      <c r="B13" s="7">
        <v>317555.70146874996</v>
      </c>
      <c r="C13" s="7">
        <v>9115.549589843753</v>
      </c>
      <c r="D13" s="7">
        <v>27109.926569210053</v>
      </c>
      <c r="E13" s="7">
        <v>2808.8892548191548</v>
      </c>
      <c r="F13" s="7">
        <v>7177.1979729766845</v>
      </c>
    </row>
    <row r="14" spans="1:6" x14ac:dyDescent="0.25">
      <c r="A14" t="s">
        <v>356</v>
      </c>
      <c r="B14" s="7">
        <v>179105.8355336914</v>
      </c>
      <c r="C14" s="7">
        <v>4128.5815677337641</v>
      </c>
      <c r="D14" s="7">
        <v>8170.4931205749526</v>
      </c>
      <c r="E14" s="7">
        <v>866.03226811531647</v>
      </c>
      <c r="F14" s="7">
        <v>2285.9839547667498</v>
      </c>
    </row>
    <row r="15" spans="1:6" x14ac:dyDescent="0.25">
      <c r="A15" t="s">
        <v>825</v>
      </c>
      <c r="B15" s="7">
        <v>677136.00599999994</v>
      </c>
      <c r="C15" s="7">
        <v>17220.929625000001</v>
      </c>
      <c r="D15" s="7">
        <v>9525.7339008789058</v>
      </c>
      <c r="E15" s="7">
        <v>11112.150617187501</v>
      </c>
      <c r="F15" s="7">
        <v>20399.36978125</v>
      </c>
    </row>
    <row r="16" spans="1:6" x14ac:dyDescent="0.25">
      <c r="A16" t="s">
        <v>361</v>
      </c>
      <c r="B16" s="7">
        <v>214331.33714355473</v>
      </c>
      <c r="C16" s="7">
        <v>3513.0503714204433</v>
      </c>
      <c r="D16" s="7">
        <v>12984.549700064303</v>
      </c>
      <c r="E16" s="7">
        <v>22.342988615084579</v>
      </c>
      <c r="F16" s="7">
        <v>249.88146794176095</v>
      </c>
    </row>
    <row r="17" spans="1:6" x14ac:dyDescent="0.25">
      <c r="A17" t="s">
        <v>661</v>
      </c>
      <c r="B17" s="9">
        <f>SUM(B14:B16)</f>
        <v>1070573.1786772462</v>
      </c>
      <c r="C17" s="9">
        <f t="shared" ref="C17:F17" si="0">SUM(C14:C16)</f>
        <v>24862.561564154206</v>
      </c>
      <c r="D17" s="9">
        <f t="shared" si="0"/>
        <v>30680.776721518159</v>
      </c>
      <c r="E17" s="9">
        <f t="shared" si="0"/>
        <v>12000.525873917901</v>
      </c>
      <c r="F17" s="9">
        <f t="shared" si="0"/>
        <v>22935.235203958509</v>
      </c>
    </row>
    <row r="18" spans="1:6" x14ac:dyDescent="0.25">
      <c r="A18" t="s">
        <v>366</v>
      </c>
      <c r="B18" s="7">
        <v>132800.2387709961</v>
      </c>
      <c r="C18" s="7">
        <v>209.57160624445976</v>
      </c>
      <c r="D18" s="7">
        <v>659.41645599269873</v>
      </c>
      <c r="E18" s="7">
        <v>10.826922867014298</v>
      </c>
      <c r="F18" s="7">
        <v>69.846905348598938</v>
      </c>
    </row>
  </sheetData>
  <pageMargins left="0.7" right="0.7" top="0.75" bottom="0.75" header="0.3" footer="0.3"/>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S41"/>
  <sheetViews>
    <sheetView workbookViewId="0">
      <selection activeCell="L32" sqref="L32"/>
    </sheetView>
  </sheetViews>
  <sheetFormatPr defaultRowHeight="15" x14ac:dyDescent="0.25"/>
  <cols>
    <col min="1" max="1" width="29.85546875" style="2" bestFit="1" customWidth="1"/>
    <col min="2" max="3" width="7.5703125" bestFit="1" customWidth="1"/>
  </cols>
  <sheetData>
    <row r="1" spans="1:45" s="131" customFormat="1" x14ac:dyDescent="0.25">
      <c r="A1" s="2" t="s">
        <v>66</v>
      </c>
      <c r="B1" s="131" t="s">
        <v>864</v>
      </c>
      <c r="C1" s="131" t="s">
        <v>862</v>
      </c>
    </row>
    <row r="2" spans="1:45" x14ac:dyDescent="0.25">
      <c r="A2" s="144" t="s">
        <v>61</v>
      </c>
      <c r="B2" s="131">
        <v>0.71299999999999997</v>
      </c>
      <c r="C2" s="16">
        <v>2614.7020000000002</v>
      </c>
      <c r="E2" s="2" t="s">
        <v>66</v>
      </c>
      <c r="F2" s="144" t="s">
        <v>61</v>
      </c>
      <c r="G2" s="144" t="s">
        <v>224</v>
      </c>
      <c r="H2" s="144" t="s">
        <v>105</v>
      </c>
      <c r="I2" s="144" t="s">
        <v>104</v>
      </c>
      <c r="J2" s="144" t="s">
        <v>217</v>
      </c>
      <c r="K2" s="144" t="s">
        <v>101</v>
      </c>
      <c r="L2" s="144" t="s">
        <v>208</v>
      </c>
      <c r="M2" s="144" t="s">
        <v>207</v>
      </c>
      <c r="N2" s="144" t="s">
        <v>198</v>
      </c>
      <c r="O2" s="144" t="s">
        <v>195</v>
      </c>
      <c r="P2" s="144" t="s">
        <v>194</v>
      </c>
      <c r="Q2" s="144" t="s">
        <v>95</v>
      </c>
      <c r="R2" s="144" t="s">
        <v>93</v>
      </c>
      <c r="S2" s="144" t="s">
        <v>92</v>
      </c>
      <c r="T2" s="144" t="s">
        <v>90</v>
      </c>
      <c r="U2" s="144" t="s">
        <v>45</v>
      </c>
      <c r="V2" s="144" t="s">
        <v>44</v>
      </c>
      <c r="W2" s="144" t="s">
        <v>43</v>
      </c>
      <c r="X2" s="144" t="s">
        <v>41</v>
      </c>
      <c r="Y2" s="144" t="s">
        <v>89</v>
      </c>
      <c r="Z2" s="144" t="s">
        <v>85</v>
      </c>
      <c r="AA2" s="144" t="s">
        <v>84</v>
      </c>
      <c r="AB2" s="144" t="s">
        <v>37</v>
      </c>
      <c r="AC2" s="144" t="s">
        <v>82</v>
      </c>
      <c r="AD2" s="144" t="s">
        <v>32</v>
      </c>
      <c r="AE2" s="144" t="s">
        <v>158</v>
      </c>
      <c r="AF2" s="144" t="s">
        <v>78</v>
      </c>
      <c r="AG2" s="144" t="s">
        <v>77</v>
      </c>
      <c r="AH2" s="144" t="s">
        <v>110</v>
      </c>
      <c r="AI2" s="144" t="s">
        <v>151</v>
      </c>
      <c r="AJ2" s="144" t="s">
        <v>26</v>
      </c>
      <c r="AK2" s="144" t="s">
        <v>143</v>
      </c>
      <c r="AL2" s="144" t="s">
        <v>76</v>
      </c>
      <c r="AM2" s="144" t="s">
        <v>23</v>
      </c>
      <c r="AN2" s="144" t="s">
        <v>75</v>
      </c>
      <c r="AO2" s="144" t="s">
        <v>20</v>
      </c>
      <c r="AP2" s="144" t="s">
        <v>17</v>
      </c>
      <c r="AQ2" s="144" t="s">
        <v>69</v>
      </c>
      <c r="AR2" s="144" t="s">
        <v>68</v>
      </c>
      <c r="AS2" s="144" t="s">
        <v>67</v>
      </c>
    </row>
    <row r="3" spans="1:45" x14ac:dyDescent="0.25">
      <c r="A3" s="144" t="s">
        <v>224</v>
      </c>
      <c r="B3" s="131">
        <v>0.65900000000000003</v>
      </c>
      <c r="C3" s="16">
        <v>4798.2349999999997</v>
      </c>
      <c r="E3" s="131" t="s">
        <v>862</v>
      </c>
      <c r="F3" s="16">
        <v>2614.7020000000002</v>
      </c>
      <c r="G3" s="16">
        <v>4798.2349999999997</v>
      </c>
      <c r="H3" s="16">
        <v>583.97299999999996</v>
      </c>
      <c r="I3" s="16">
        <v>709.82399999999996</v>
      </c>
      <c r="J3" s="16">
        <v>1707.624</v>
      </c>
      <c r="K3" s="16">
        <v>768.36599999999999</v>
      </c>
      <c r="L3" s="16">
        <v>5153.5039999999999</v>
      </c>
      <c r="M3" s="16">
        <v>2557.306</v>
      </c>
      <c r="N3" s="16">
        <v>162.38499999999999</v>
      </c>
      <c r="O3" s="16">
        <v>4815.8</v>
      </c>
      <c r="P3" s="16">
        <v>2455.8270000000002</v>
      </c>
      <c r="Q3" s="16">
        <v>389.42899999999997</v>
      </c>
      <c r="R3" s="16">
        <v>1124.655</v>
      </c>
      <c r="S3" s="16">
        <v>451.47</v>
      </c>
      <c r="T3" s="16">
        <v>668.55899999999997</v>
      </c>
      <c r="U3" s="16">
        <v>1891.57</v>
      </c>
      <c r="V3" s="16">
        <v>1058.2260000000001</v>
      </c>
      <c r="W3" s="16">
        <v>2327.2600000000002</v>
      </c>
      <c r="X3" s="16">
        <v>4199.4979999999996</v>
      </c>
      <c r="Y3" s="16">
        <v>761.50300000000004</v>
      </c>
      <c r="Z3" s="16">
        <v>212.69</v>
      </c>
      <c r="AA3" s="16">
        <v>413.875</v>
      </c>
      <c r="AB3" s="16">
        <v>5499.4889999999996</v>
      </c>
      <c r="AC3" s="16">
        <v>690.82299999999998</v>
      </c>
      <c r="AD3" s="16">
        <v>2899.46</v>
      </c>
      <c r="AE3" s="16">
        <v>4477.5889999999999</v>
      </c>
      <c r="AF3" s="16">
        <v>461.95100000000002</v>
      </c>
      <c r="AG3" s="16">
        <v>371.56700000000001</v>
      </c>
      <c r="AH3" s="16">
        <v>1111.7470000000001</v>
      </c>
      <c r="AI3" s="16">
        <v>989.25300000000004</v>
      </c>
      <c r="AJ3" s="16">
        <v>1747.8230000000001</v>
      </c>
      <c r="AK3" s="16">
        <v>1524.232</v>
      </c>
      <c r="AL3" s="16">
        <v>532.64099999999996</v>
      </c>
      <c r="AM3" s="16">
        <v>997.60799999999995</v>
      </c>
      <c r="AN3" s="16">
        <v>325.66300000000001</v>
      </c>
      <c r="AO3" s="16">
        <v>2541.86</v>
      </c>
      <c r="AP3" s="16">
        <v>533.54</v>
      </c>
      <c r="AQ3" s="16">
        <v>481.86399999999998</v>
      </c>
      <c r="AR3" s="16">
        <v>989.952</v>
      </c>
      <c r="AS3" s="16">
        <v>464.101</v>
      </c>
    </row>
    <row r="4" spans="1:45" x14ac:dyDescent="0.25">
      <c r="A4" s="144" t="s">
        <v>105</v>
      </c>
      <c r="B4" s="131">
        <v>0.56100000000000005</v>
      </c>
      <c r="C4" s="16">
        <v>583.97299999999996</v>
      </c>
      <c r="E4" s="131" t="s">
        <v>863</v>
      </c>
      <c r="F4" s="59">
        <v>0.71299999999999997</v>
      </c>
      <c r="G4" s="59">
        <v>0.65900000000000003</v>
      </c>
      <c r="H4" s="59">
        <v>0.56100000000000005</v>
      </c>
      <c r="I4" s="59">
        <v>0.52100000000000002</v>
      </c>
      <c r="J4" s="59">
        <v>0.70000000000000007</v>
      </c>
      <c r="K4" s="59">
        <v>0.61299999999999999</v>
      </c>
      <c r="L4" s="59">
        <v>0.78500000000000003</v>
      </c>
      <c r="M4" s="59">
        <v>0.51900000000000002</v>
      </c>
      <c r="N4" s="59">
        <v>0.20399999999999999</v>
      </c>
      <c r="O4" s="59">
        <v>0.53800000000000003</v>
      </c>
      <c r="P4" s="59">
        <v>0.68</v>
      </c>
      <c r="Q4" s="59">
        <v>0.251</v>
      </c>
      <c r="R4" s="59">
        <v>0.82000000000000006</v>
      </c>
      <c r="S4" s="59">
        <v>0.40299999999999997</v>
      </c>
      <c r="T4" s="59">
        <v>0.48700000000000004</v>
      </c>
      <c r="U4" s="59">
        <v>0.82200000000000006</v>
      </c>
      <c r="V4" s="59">
        <v>0.32600000000000001</v>
      </c>
      <c r="W4" s="59">
        <v>0.312</v>
      </c>
      <c r="X4" s="59">
        <v>0.88800000000000001</v>
      </c>
      <c r="Y4" s="59">
        <v>0.66400000000000003</v>
      </c>
      <c r="Z4" s="59">
        <v>0.36899999999999999</v>
      </c>
      <c r="AA4" s="59">
        <v>0.54600000000000004</v>
      </c>
      <c r="AB4" s="59">
        <v>0.88600000000000001</v>
      </c>
      <c r="AC4" s="59">
        <v>0.52600000000000002</v>
      </c>
      <c r="AD4" s="59">
        <v>0.75600000000000001</v>
      </c>
      <c r="AE4" s="59">
        <v>0.68200000000000005</v>
      </c>
      <c r="AF4" s="59">
        <v>0.313</v>
      </c>
      <c r="AG4" s="59">
        <v>0.32400000000000001</v>
      </c>
      <c r="AH4" s="59">
        <v>0.20199999999999999</v>
      </c>
      <c r="AI4" s="59">
        <v>0.20899999999999999</v>
      </c>
      <c r="AJ4" s="59">
        <v>0.40899999999999997</v>
      </c>
      <c r="AK4" s="59">
        <v>9.8000000000000004E-2</v>
      </c>
      <c r="AL4" s="59">
        <v>0.66099999999999992</v>
      </c>
      <c r="AM4" s="59">
        <v>0.61299999999999999</v>
      </c>
      <c r="AN4" s="59">
        <v>0.45500000000000002</v>
      </c>
      <c r="AO4" s="59">
        <v>0.82400000000000007</v>
      </c>
      <c r="AP4" s="59">
        <v>0.47000000000000003</v>
      </c>
      <c r="AQ4" s="59">
        <v>2.2000000000000002E-2</v>
      </c>
      <c r="AR4" s="59">
        <v>0.66900000000000004</v>
      </c>
      <c r="AS4" s="59">
        <v>0.58700000000000008</v>
      </c>
    </row>
    <row r="5" spans="1:45" x14ac:dyDescent="0.25">
      <c r="A5" s="144" t="s">
        <v>104</v>
      </c>
      <c r="B5" s="131">
        <v>0.52100000000000002</v>
      </c>
      <c r="C5" s="16">
        <v>709.82399999999996</v>
      </c>
    </row>
    <row r="6" spans="1:45" x14ac:dyDescent="0.25">
      <c r="A6" s="144" t="s">
        <v>217</v>
      </c>
      <c r="B6" s="131">
        <v>0.70000000000000007</v>
      </c>
      <c r="C6" s="16">
        <v>1707.624</v>
      </c>
    </row>
    <row r="7" spans="1:45" x14ac:dyDescent="0.25">
      <c r="A7" s="144" t="s">
        <v>101</v>
      </c>
      <c r="B7" s="131">
        <v>0.61299999999999999</v>
      </c>
      <c r="C7" s="16">
        <v>768.36599999999999</v>
      </c>
    </row>
    <row r="8" spans="1:45" x14ac:dyDescent="0.25">
      <c r="A8" s="144" t="s">
        <v>208</v>
      </c>
      <c r="B8" s="131">
        <v>0.78500000000000003</v>
      </c>
      <c r="C8" s="16">
        <v>5153.5039999999999</v>
      </c>
    </row>
    <row r="9" spans="1:45" x14ac:dyDescent="0.25">
      <c r="A9" s="144" t="s">
        <v>207</v>
      </c>
      <c r="B9" s="131">
        <v>0.51900000000000002</v>
      </c>
      <c r="C9" s="16">
        <v>2557.306</v>
      </c>
    </row>
    <row r="10" spans="1:45" x14ac:dyDescent="0.25">
      <c r="A10" s="144" t="s">
        <v>198</v>
      </c>
      <c r="B10" s="131">
        <v>0.20399999999999999</v>
      </c>
      <c r="C10" s="16">
        <v>162.38499999999999</v>
      </c>
    </row>
    <row r="11" spans="1:45" x14ac:dyDescent="0.25">
      <c r="A11" s="144" t="s">
        <v>195</v>
      </c>
      <c r="B11" s="131">
        <v>0.53800000000000003</v>
      </c>
      <c r="C11" s="16">
        <v>4815.8</v>
      </c>
    </row>
    <row r="12" spans="1:45" x14ac:dyDescent="0.25">
      <c r="A12" s="144" t="s">
        <v>194</v>
      </c>
      <c r="B12" s="131">
        <v>0.68</v>
      </c>
      <c r="C12" s="16">
        <v>2455.8270000000002</v>
      </c>
    </row>
    <row r="13" spans="1:45" x14ac:dyDescent="0.25">
      <c r="A13" s="144" t="s">
        <v>95</v>
      </c>
      <c r="B13" s="131">
        <v>0.251</v>
      </c>
      <c r="C13" s="16">
        <v>389.42899999999997</v>
      </c>
    </row>
    <row r="14" spans="1:45" x14ac:dyDescent="0.25">
      <c r="A14" s="144" t="s">
        <v>93</v>
      </c>
      <c r="B14" s="131">
        <v>0.82000000000000006</v>
      </c>
      <c r="C14" s="16">
        <v>1124.655</v>
      </c>
    </row>
    <row r="15" spans="1:45" x14ac:dyDescent="0.25">
      <c r="A15" s="144" t="s">
        <v>92</v>
      </c>
      <c r="B15" s="131">
        <v>0.40299999999999997</v>
      </c>
      <c r="C15" s="16">
        <v>451.47</v>
      </c>
    </row>
    <row r="16" spans="1:45" x14ac:dyDescent="0.25">
      <c r="A16" s="144" t="s">
        <v>90</v>
      </c>
      <c r="B16" s="131">
        <v>0.48700000000000004</v>
      </c>
      <c r="C16" s="16">
        <v>668.55899999999997</v>
      </c>
    </row>
    <row r="17" spans="1:3" x14ac:dyDescent="0.25">
      <c r="A17" s="144" t="s">
        <v>45</v>
      </c>
      <c r="B17" s="131">
        <v>0.82200000000000006</v>
      </c>
      <c r="C17" s="16">
        <v>1891.57</v>
      </c>
    </row>
    <row r="18" spans="1:3" x14ac:dyDescent="0.25">
      <c r="A18" s="144" t="s">
        <v>44</v>
      </c>
      <c r="B18" s="131">
        <v>0.32600000000000001</v>
      </c>
      <c r="C18" s="16">
        <v>1058.2260000000001</v>
      </c>
    </row>
    <row r="19" spans="1:3" x14ac:dyDescent="0.25">
      <c r="A19" s="144" t="s">
        <v>43</v>
      </c>
      <c r="B19" s="131">
        <v>0.312</v>
      </c>
      <c r="C19" s="16">
        <v>2327.2600000000002</v>
      </c>
    </row>
    <row r="20" spans="1:3" x14ac:dyDescent="0.25">
      <c r="A20" s="144" t="s">
        <v>41</v>
      </c>
      <c r="B20" s="131">
        <v>0.88800000000000001</v>
      </c>
      <c r="C20" s="16">
        <v>4199.4979999999996</v>
      </c>
    </row>
    <row r="21" spans="1:3" x14ac:dyDescent="0.25">
      <c r="A21" s="144" t="s">
        <v>89</v>
      </c>
      <c r="B21" s="131">
        <v>0.66400000000000003</v>
      </c>
      <c r="C21" s="16">
        <v>761.50300000000004</v>
      </c>
    </row>
    <row r="22" spans="1:3" x14ac:dyDescent="0.25">
      <c r="A22" s="144" t="s">
        <v>85</v>
      </c>
      <c r="B22" s="131">
        <v>0.36899999999999999</v>
      </c>
      <c r="C22" s="16">
        <v>212.69</v>
      </c>
    </row>
    <row r="23" spans="1:3" x14ac:dyDescent="0.25">
      <c r="A23" s="144" t="s">
        <v>84</v>
      </c>
      <c r="B23" s="131">
        <v>0.54600000000000004</v>
      </c>
      <c r="C23" s="16">
        <v>413.875</v>
      </c>
    </row>
    <row r="24" spans="1:3" x14ac:dyDescent="0.25">
      <c r="A24" s="144" t="s">
        <v>37</v>
      </c>
      <c r="B24" s="131">
        <v>0.88600000000000001</v>
      </c>
      <c r="C24" s="16">
        <v>5499.4889999999996</v>
      </c>
    </row>
    <row r="25" spans="1:3" x14ac:dyDescent="0.25">
      <c r="A25" s="144" t="s">
        <v>82</v>
      </c>
      <c r="B25" s="131">
        <v>0.52600000000000002</v>
      </c>
      <c r="C25" s="16">
        <v>690.82299999999998</v>
      </c>
    </row>
    <row r="26" spans="1:3" x14ac:dyDescent="0.25">
      <c r="A26" s="144" t="s">
        <v>32</v>
      </c>
      <c r="B26" s="131">
        <v>0.75600000000000001</v>
      </c>
      <c r="C26" s="16">
        <v>2899.46</v>
      </c>
    </row>
    <row r="27" spans="1:3" x14ac:dyDescent="0.25">
      <c r="A27" s="144" t="s">
        <v>158</v>
      </c>
      <c r="B27" s="131">
        <v>0.68200000000000005</v>
      </c>
      <c r="C27" s="16">
        <v>4477.5889999999999</v>
      </c>
    </row>
    <row r="28" spans="1:3" x14ac:dyDescent="0.25">
      <c r="A28" s="144" t="s">
        <v>78</v>
      </c>
      <c r="B28" s="131">
        <v>0.313</v>
      </c>
      <c r="C28" s="16">
        <v>461.95100000000002</v>
      </c>
    </row>
    <row r="29" spans="1:3" x14ac:dyDescent="0.25">
      <c r="A29" s="144" t="s">
        <v>77</v>
      </c>
      <c r="B29" s="131">
        <v>0.32400000000000001</v>
      </c>
      <c r="C29" s="16">
        <v>371.56700000000001</v>
      </c>
    </row>
    <row r="30" spans="1:3" x14ac:dyDescent="0.25">
      <c r="A30" s="144" t="s">
        <v>110</v>
      </c>
      <c r="B30" s="131">
        <v>0.20199999999999999</v>
      </c>
      <c r="C30" s="16">
        <v>1111.7470000000001</v>
      </c>
    </row>
    <row r="31" spans="1:3" x14ac:dyDescent="0.25">
      <c r="A31" s="144" t="s">
        <v>151</v>
      </c>
      <c r="B31" s="131">
        <v>0.20899999999999999</v>
      </c>
      <c r="C31" s="16">
        <v>989.25300000000004</v>
      </c>
    </row>
    <row r="32" spans="1:3" x14ac:dyDescent="0.25">
      <c r="A32" s="144" t="s">
        <v>26</v>
      </c>
      <c r="B32" s="131">
        <v>0.40899999999999997</v>
      </c>
      <c r="C32" s="16">
        <v>1747.8230000000001</v>
      </c>
    </row>
    <row r="33" spans="1:3" x14ac:dyDescent="0.25">
      <c r="A33" s="144" t="s">
        <v>143</v>
      </c>
      <c r="B33" s="131">
        <v>9.8000000000000004E-2</v>
      </c>
      <c r="C33" s="16">
        <v>1524.232</v>
      </c>
    </row>
    <row r="34" spans="1:3" x14ac:dyDescent="0.25">
      <c r="A34" s="144" t="s">
        <v>76</v>
      </c>
      <c r="B34" s="131">
        <v>0.66099999999999992</v>
      </c>
      <c r="C34" s="16">
        <v>532.64099999999996</v>
      </c>
    </row>
    <row r="35" spans="1:3" x14ac:dyDescent="0.25">
      <c r="A35" s="144" t="s">
        <v>23</v>
      </c>
      <c r="B35" s="131">
        <v>0.61299999999999999</v>
      </c>
      <c r="C35" s="16">
        <v>997.60799999999995</v>
      </c>
    </row>
    <row r="36" spans="1:3" x14ac:dyDescent="0.25">
      <c r="A36" s="144" t="s">
        <v>75</v>
      </c>
      <c r="B36" s="131">
        <v>0.45500000000000002</v>
      </c>
      <c r="C36" s="16">
        <v>325.66300000000001</v>
      </c>
    </row>
    <row r="37" spans="1:3" x14ac:dyDescent="0.25">
      <c r="A37" s="144" t="s">
        <v>20</v>
      </c>
      <c r="B37" s="131">
        <v>0.82400000000000007</v>
      </c>
      <c r="C37" s="16">
        <v>2541.86</v>
      </c>
    </row>
    <row r="38" spans="1:3" x14ac:dyDescent="0.25">
      <c r="A38" s="144" t="s">
        <v>17</v>
      </c>
      <c r="B38" s="131">
        <v>0.47000000000000003</v>
      </c>
      <c r="C38" s="16">
        <v>533.54</v>
      </c>
    </row>
    <row r="39" spans="1:3" x14ac:dyDescent="0.25">
      <c r="A39" s="144" t="s">
        <v>69</v>
      </c>
      <c r="B39" s="131">
        <v>2.2000000000000002E-2</v>
      </c>
      <c r="C39" s="16">
        <v>481.86399999999998</v>
      </c>
    </row>
    <row r="40" spans="1:3" x14ac:dyDescent="0.25">
      <c r="A40" s="144" t="s">
        <v>68</v>
      </c>
      <c r="B40" s="131">
        <v>0.66900000000000004</v>
      </c>
      <c r="C40" s="16">
        <v>989.952</v>
      </c>
    </row>
    <row r="41" spans="1:3" x14ac:dyDescent="0.25">
      <c r="A41" s="144" t="s">
        <v>67</v>
      </c>
      <c r="B41" s="131">
        <v>0.58700000000000008</v>
      </c>
      <c r="C41" s="16">
        <v>464.101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84"/>
  <sheetViews>
    <sheetView zoomScaleNormal="100" zoomScalePageLayoutView="80" workbookViewId="0">
      <selection activeCell="N173" sqref="N173"/>
    </sheetView>
  </sheetViews>
  <sheetFormatPr defaultColWidth="8.85546875" defaultRowHeight="15" x14ac:dyDescent="0.25"/>
  <cols>
    <col min="1" max="1" width="35" bestFit="1" customWidth="1"/>
    <col min="2" max="2" width="22.7109375" bestFit="1" customWidth="1"/>
    <col min="3" max="3" width="11.28515625" bestFit="1" customWidth="1"/>
    <col min="4" max="4" width="11.28515625" hidden="1" customWidth="1"/>
    <col min="5" max="12" width="8.42578125" hidden="1" customWidth="1"/>
    <col min="13" max="13" width="8.42578125" bestFit="1" customWidth="1"/>
    <col min="14" max="14" width="14.42578125" customWidth="1"/>
    <col min="15" max="15" width="22.7109375" bestFit="1" customWidth="1"/>
    <col min="16" max="16" width="9.85546875" bestFit="1" customWidth="1"/>
    <col min="17" max="21" width="10.85546875" bestFit="1" customWidth="1"/>
    <col min="22" max="26" width="10" bestFit="1" customWidth="1"/>
    <col min="28" max="28" width="20.42578125" bestFit="1" customWidth="1"/>
    <col min="29" max="34" width="9.85546875" bestFit="1" customWidth="1"/>
    <col min="38" max="38" width="9.85546875" bestFit="1" customWidth="1"/>
  </cols>
  <sheetData>
    <row r="1" spans="1:26" x14ac:dyDescent="0.25">
      <c r="A1" s="65" t="s">
        <v>66</v>
      </c>
      <c r="B1" s="65" t="s">
        <v>654</v>
      </c>
      <c r="C1" s="65">
        <v>1990</v>
      </c>
      <c r="D1" s="65">
        <v>2000</v>
      </c>
      <c r="E1" s="65">
        <v>2001</v>
      </c>
      <c r="F1" s="65">
        <v>2002</v>
      </c>
      <c r="G1" s="65">
        <v>2003</v>
      </c>
      <c r="H1" s="65">
        <v>2004</v>
      </c>
      <c r="I1" s="65">
        <v>2005</v>
      </c>
      <c r="J1" s="65">
        <v>2006</v>
      </c>
      <c r="K1" s="65">
        <v>2007</v>
      </c>
      <c r="L1" s="65">
        <v>2008</v>
      </c>
      <c r="M1" s="65">
        <v>2009</v>
      </c>
    </row>
    <row r="2" spans="1:26" x14ac:dyDescent="0.25">
      <c r="A2" s="32" t="s">
        <v>106</v>
      </c>
      <c r="B2" s="21" t="s">
        <v>353</v>
      </c>
      <c r="C2">
        <v>57000</v>
      </c>
      <c r="D2" s="64">
        <v>88000</v>
      </c>
      <c r="E2" s="64">
        <v>86000</v>
      </c>
      <c r="F2" s="64">
        <v>86000</v>
      </c>
      <c r="G2" s="64">
        <v>86000</v>
      </c>
      <c r="H2" s="64">
        <v>87000</v>
      </c>
      <c r="I2" s="64">
        <v>85000</v>
      </c>
      <c r="J2" s="64">
        <v>85000</v>
      </c>
      <c r="K2" s="64">
        <v>86000</v>
      </c>
      <c r="L2" s="64">
        <v>90000</v>
      </c>
      <c r="M2" s="64">
        <v>95000</v>
      </c>
    </row>
    <row r="3" spans="1:26" x14ac:dyDescent="0.25">
      <c r="A3" s="32" t="s">
        <v>232</v>
      </c>
      <c r="B3" s="21" t="s">
        <v>361</v>
      </c>
      <c r="C3">
        <v>1100</v>
      </c>
      <c r="D3" s="64">
        <v>850</v>
      </c>
      <c r="E3" s="64">
        <v>780</v>
      </c>
      <c r="F3" s="64">
        <v>920</v>
      </c>
      <c r="G3" s="64">
        <v>770</v>
      </c>
      <c r="H3" s="64">
        <v>830</v>
      </c>
      <c r="I3" s="64">
        <v>750</v>
      </c>
      <c r="J3" s="64">
        <v>690</v>
      </c>
      <c r="K3" s="64">
        <v>630</v>
      </c>
      <c r="L3" s="64">
        <v>620</v>
      </c>
      <c r="M3" s="64">
        <v>550</v>
      </c>
    </row>
    <row r="4" spans="1:26" x14ac:dyDescent="0.25">
      <c r="A4" s="32" t="s">
        <v>231</v>
      </c>
      <c r="B4" s="21" t="s">
        <v>361</v>
      </c>
      <c r="C4">
        <v>12000</v>
      </c>
      <c r="D4" s="64">
        <v>20000</v>
      </c>
      <c r="E4" s="64">
        <v>20000</v>
      </c>
      <c r="F4" s="64">
        <v>21000</v>
      </c>
      <c r="G4" s="64">
        <v>21000</v>
      </c>
      <c r="H4" s="64">
        <v>22000</v>
      </c>
      <c r="I4" s="64">
        <v>23000</v>
      </c>
      <c r="J4" s="64">
        <v>23000</v>
      </c>
      <c r="K4" s="64">
        <v>23000</v>
      </c>
      <c r="L4" s="64">
        <v>23000</v>
      </c>
      <c r="M4" s="64">
        <v>23000</v>
      </c>
    </row>
    <row r="5" spans="1:26" x14ac:dyDescent="0.25">
      <c r="A5" s="32" t="s">
        <v>62</v>
      </c>
      <c r="B5" s="21" t="s">
        <v>356</v>
      </c>
      <c r="C5">
        <v>39000</v>
      </c>
      <c r="D5" s="64">
        <v>60000</v>
      </c>
      <c r="E5" s="64">
        <v>58000</v>
      </c>
      <c r="F5" s="64">
        <v>54000</v>
      </c>
      <c r="G5" s="64">
        <v>53000</v>
      </c>
      <c r="H5" s="64">
        <v>55000</v>
      </c>
      <c r="I5" s="64">
        <v>54000</v>
      </c>
      <c r="J5" s="64">
        <v>57000</v>
      </c>
      <c r="K5" s="64">
        <v>59000</v>
      </c>
      <c r="L5" s="64">
        <v>68000</v>
      </c>
      <c r="M5" s="64">
        <v>72000</v>
      </c>
    </row>
    <row r="6" spans="1:26" x14ac:dyDescent="0.25">
      <c r="A6" s="32" t="s">
        <v>228</v>
      </c>
      <c r="B6" s="21" t="s">
        <v>361</v>
      </c>
      <c r="C6">
        <v>30000</v>
      </c>
      <c r="D6" s="64">
        <v>20000</v>
      </c>
      <c r="E6" s="64">
        <v>19000</v>
      </c>
      <c r="F6" s="64">
        <v>19000</v>
      </c>
      <c r="G6" s="64">
        <v>18000</v>
      </c>
      <c r="H6" s="64">
        <v>18000</v>
      </c>
      <c r="I6" s="64">
        <v>18000</v>
      </c>
      <c r="J6" s="64">
        <v>17000</v>
      </c>
      <c r="K6" s="64">
        <v>16000</v>
      </c>
      <c r="L6" s="64">
        <v>16000</v>
      </c>
      <c r="M6" s="64">
        <v>16000</v>
      </c>
      <c r="O6" s="1" t="s">
        <v>653</v>
      </c>
      <c r="P6" s="1">
        <v>1990</v>
      </c>
      <c r="Q6" s="1">
        <v>2000</v>
      </c>
      <c r="R6" s="1">
        <v>2001</v>
      </c>
      <c r="S6" s="1">
        <v>2002</v>
      </c>
      <c r="T6" s="1">
        <v>2003</v>
      </c>
      <c r="U6" s="1">
        <v>2004</v>
      </c>
      <c r="V6" s="1">
        <v>2005</v>
      </c>
      <c r="W6" s="1">
        <v>2006</v>
      </c>
      <c r="X6" s="1">
        <v>2007</v>
      </c>
      <c r="Y6" s="1">
        <v>2008</v>
      </c>
      <c r="Z6" s="1">
        <v>2009</v>
      </c>
    </row>
    <row r="7" spans="1:26" x14ac:dyDescent="0.25">
      <c r="A7" s="32" t="s">
        <v>61</v>
      </c>
      <c r="B7" s="21" t="s">
        <v>356</v>
      </c>
      <c r="C7">
        <v>2000</v>
      </c>
      <c r="D7" s="64">
        <v>3400</v>
      </c>
      <c r="E7" s="64">
        <v>3500</v>
      </c>
      <c r="F7" s="64">
        <v>3400</v>
      </c>
      <c r="G7" s="64">
        <v>3300</v>
      </c>
      <c r="H7" s="64">
        <v>2900</v>
      </c>
      <c r="I7" s="64">
        <v>2900</v>
      </c>
      <c r="J7" s="64">
        <v>2900</v>
      </c>
      <c r="K7" s="64">
        <v>3100</v>
      </c>
      <c r="L7" s="64">
        <v>3300</v>
      </c>
      <c r="M7" s="64">
        <v>3300</v>
      </c>
      <c r="O7" t="s">
        <v>353</v>
      </c>
      <c r="P7" s="7">
        <v>2056450</v>
      </c>
      <c r="Q7" s="7">
        <v>2909580</v>
      </c>
      <c r="R7" s="7">
        <v>3006380</v>
      </c>
      <c r="S7" s="7">
        <v>3112590</v>
      </c>
      <c r="T7" s="7">
        <v>3176400</v>
      </c>
      <c r="U7" s="7">
        <v>3216580</v>
      </c>
      <c r="V7" s="7">
        <v>3217250</v>
      </c>
      <c r="W7" s="7">
        <v>3193420</v>
      </c>
      <c r="X7" s="7">
        <v>3223300</v>
      </c>
      <c r="Y7" s="7">
        <v>3212780</v>
      </c>
      <c r="Z7" s="7">
        <v>3221130</v>
      </c>
    </row>
    <row r="8" spans="1:26" x14ac:dyDescent="0.25">
      <c r="A8" s="32" t="s">
        <v>227</v>
      </c>
      <c r="B8" s="21" t="s">
        <v>366</v>
      </c>
      <c r="C8">
        <v>1800</v>
      </c>
      <c r="D8" s="64">
        <v>1500</v>
      </c>
      <c r="E8" s="64">
        <v>1400</v>
      </c>
      <c r="F8" s="64">
        <v>1500</v>
      </c>
      <c r="G8" s="64">
        <v>1300</v>
      </c>
      <c r="H8" s="64">
        <v>1600</v>
      </c>
      <c r="I8" s="64">
        <v>1500</v>
      </c>
      <c r="J8" s="64">
        <v>1700</v>
      </c>
      <c r="K8" s="64">
        <v>1500</v>
      </c>
      <c r="L8" s="64">
        <v>1800</v>
      </c>
      <c r="M8" s="64">
        <v>1700</v>
      </c>
      <c r="O8" t="s">
        <v>356</v>
      </c>
      <c r="P8" s="7">
        <v>1632114</v>
      </c>
      <c r="Q8" s="7">
        <v>1722659</v>
      </c>
      <c r="R8" s="7">
        <v>1733663</v>
      </c>
      <c r="S8" s="7">
        <v>1756201</v>
      </c>
      <c r="T8" s="7">
        <v>1740281</v>
      </c>
      <c r="U8" s="7">
        <v>1760516</v>
      </c>
      <c r="V8" s="7">
        <v>1725922</v>
      </c>
      <c r="W8" s="7">
        <v>1749267</v>
      </c>
      <c r="X8" s="7">
        <v>1738095</v>
      </c>
      <c r="Y8" s="7">
        <v>1727372</v>
      </c>
      <c r="Z8" s="7">
        <v>1735364</v>
      </c>
    </row>
    <row r="9" spans="1:26" x14ac:dyDescent="0.25">
      <c r="A9" s="32" t="s">
        <v>226</v>
      </c>
      <c r="B9" s="21" t="s">
        <v>366</v>
      </c>
      <c r="C9">
        <v>2700</v>
      </c>
      <c r="D9" s="64">
        <v>1900</v>
      </c>
      <c r="E9" s="64">
        <v>1400</v>
      </c>
      <c r="F9" s="64">
        <v>1600</v>
      </c>
      <c r="G9" s="64">
        <v>1400</v>
      </c>
      <c r="H9" s="64">
        <v>1300</v>
      </c>
      <c r="I9" s="64">
        <v>1400</v>
      </c>
      <c r="J9" s="64">
        <v>1200</v>
      </c>
      <c r="K9" s="64">
        <v>1100</v>
      </c>
      <c r="L9" s="64">
        <v>1200</v>
      </c>
      <c r="M9" s="64">
        <v>1100</v>
      </c>
      <c r="O9" t="s">
        <v>652</v>
      </c>
      <c r="P9" s="7">
        <v>7860000</v>
      </c>
      <c r="Q9" s="7">
        <v>7900000</v>
      </c>
      <c r="R9" s="7">
        <v>8070000</v>
      </c>
      <c r="S9" s="7">
        <v>8140000</v>
      </c>
      <c r="T9" s="7">
        <v>8060000</v>
      </c>
      <c r="U9" s="7">
        <v>7840000</v>
      </c>
      <c r="V9" s="7">
        <v>7560000</v>
      </c>
      <c r="W9" s="7">
        <v>7400000</v>
      </c>
      <c r="X9" s="7">
        <v>7350000</v>
      </c>
      <c r="Y9" s="7">
        <v>7320000</v>
      </c>
      <c r="Z9" s="7">
        <v>7430000</v>
      </c>
    </row>
    <row r="10" spans="1:26" x14ac:dyDescent="0.25">
      <c r="A10" s="32" t="s">
        <v>224</v>
      </c>
      <c r="B10" s="21" t="s">
        <v>361</v>
      </c>
      <c r="C10">
        <v>16000</v>
      </c>
      <c r="D10" s="64">
        <v>15000</v>
      </c>
      <c r="E10" s="64">
        <v>15000</v>
      </c>
      <c r="F10" s="64">
        <v>16000</v>
      </c>
      <c r="G10" s="64">
        <v>16000</v>
      </c>
      <c r="H10" s="64">
        <v>16000</v>
      </c>
      <c r="I10" s="64">
        <v>15000</v>
      </c>
      <c r="J10" s="64">
        <v>15000</v>
      </c>
      <c r="K10" s="64">
        <v>15000</v>
      </c>
      <c r="L10" s="64">
        <v>15000</v>
      </c>
      <c r="M10" s="64">
        <v>15000</v>
      </c>
      <c r="O10" t="s">
        <v>361</v>
      </c>
      <c r="P10" s="7">
        <v>1309349</v>
      </c>
      <c r="Q10" s="7">
        <v>1113340.5</v>
      </c>
      <c r="R10" s="7">
        <v>1132232</v>
      </c>
      <c r="S10" s="7">
        <v>1146309.8999999999</v>
      </c>
      <c r="T10" s="7">
        <v>1130920.6000000001</v>
      </c>
      <c r="U10" s="7">
        <v>1138332.1000000001</v>
      </c>
      <c r="V10" s="7">
        <v>1137345.7</v>
      </c>
      <c r="W10" s="7">
        <v>1107716</v>
      </c>
      <c r="X10" s="7">
        <v>1091492.6000000001</v>
      </c>
      <c r="Y10" s="7">
        <v>1064867.8</v>
      </c>
      <c r="Z10" s="7">
        <v>1045978.9</v>
      </c>
    </row>
    <row r="11" spans="1:26" x14ac:dyDescent="0.25">
      <c r="A11" s="32" t="s">
        <v>223</v>
      </c>
      <c r="B11" s="21" t="s">
        <v>366</v>
      </c>
      <c r="C11">
        <v>58</v>
      </c>
      <c r="D11" s="64">
        <v>100</v>
      </c>
      <c r="E11" s="64">
        <v>72</v>
      </c>
      <c r="F11" s="64">
        <v>46</v>
      </c>
      <c r="G11" s="64">
        <v>40</v>
      </c>
      <c r="H11" s="64">
        <v>65</v>
      </c>
      <c r="I11" s="64">
        <v>56</v>
      </c>
      <c r="J11" s="64">
        <v>54</v>
      </c>
      <c r="K11" s="64">
        <v>54</v>
      </c>
      <c r="L11" s="64">
        <v>54</v>
      </c>
      <c r="M11" s="64">
        <v>48</v>
      </c>
      <c r="O11" t="s">
        <v>366</v>
      </c>
      <c r="P11" s="7">
        <v>412745</v>
      </c>
      <c r="Q11" s="7">
        <v>240508.5</v>
      </c>
      <c r="R11" s="7">
        <v>255247.3</v>
      </c>
      <c r="S11" s="7">
        <v>236704.4</v>
      </c>
      <c r="T11" s="7">
        <v>227407.1</v>
      </c>
      <c r="U11" s="7">
        <v>214652</v>
      </c>
      <c r="V11" s="7">
        <v>221817</v>
      </c>
      <c r="W11" s="7">
        <v>216137.7</v>
      </c>
      <c r="X11" s="7">
        <v>209571</v>
      </c>
      <c r="Y11" s="7">
        <v>197218.8</v>
      </c>
      <c r="Z11" s="7">
        <v>188105.1</v>
      </c>
    </row>
    <row r="12" spans="1:26" x14ac:dyDescent="0.25">
      <c r="A12" s="32" t="s">
        <v>222</v>
      </c>
      <c r="B12" s="21" t="s">
        <v>366</v>
      </c>
      <c r="C12">
        <v>310</v>
      </c>
      <c r="D12" s="64">
        <v>400</v>
      </c>
      <c r="E12" s="64">
        <v>390</v>
      </c>
      <c r="F12" s="64">
        <v>380</v>
      </c>
      <c r="G12" s="64">
        <v>370</v>
      </c>
      <c r="H12" s="64">
        <v>340</v>
      </c>
      <c r="I12" s="64">
        <v>440</v>
      </c>
      <c r="J12" s="64">
        <v>410</v>
      </c>
      <c r="K12" s="64">
        <v>440</v>
      </c>
      <c r="L12" s="64">
        <v>440</v>
      </c>
      <c r="M12" s="64">
        <v>450</v>
      </c>
    </row>
    <row r="13" spans="1:26" x14ac:dyDescent="0.25">
      <c r="A13" s="32" t="s">
        <v>105</v>
      </c>
      <c r="B13" s="21" t="s">
        <v>353</v>
      </c>
      <c r="C13">
        <v>580000</v>
      </c>
      <c r="D13" s="64">
        <v>680000</v>
      </c>
      <c r="E13" s="64">
        <v>690000</v>
      </c>
      <c r="F13" s="64">
        <v>710000</v>
      </c>
      <c r="G13" s="64">
        <v>710000</v>
      </c>
      <c r="H13" s="64">
        <v>700000</v>
      </c>
      <c r="I13" s="64">
        <v>690000</v>
      </c>
      <c r="J13" s="64">
        <v>680000</v>
      </c>
      <c r="K13" s="64">
        <v>680000</v>
      </c>
      <c r="L13" s="64">
        <v>680000</v>
      </c>
      <c r="M13" s="64">
        <v>690000</v>
      </c>
    </row>
    <row r="14" spans="1:26" x14ac:dyDescent="0.25">
      <c r="A14" s="32" t="s">
        <v>221</v>
      </c>
      <c r="B14" s="21" t="s">
        <v>366</v>
      </c>
      <c r="C14">
        <v>9</v>
      </c>
      <c r="D14" s="64">
        <v>3.5</v>
      </c>
      <c r="E14" s="64">
        <v>8.3000000000000007</v>
      </c>
      <c r="F14" s="64">
        <v>7.4</v>
      </c>
      <c r="G14" s="64">
        <v>13</v>
      </c>
      <c r="H14" s="64">
        <v>25</v>
      </c>
      <c r="I14" s="64">
        <v>14</v>
      </c>
      <c r="J14" s="64">
        <v>8.6999999999999993</v>
      </c>
      <c r="K14" s="64">
        <v>27</v>
      </c>
      <c r="L14" s="64">
        <v>4.9000000000000004</v>
      </c>
      <c r="M14" s="64">
        <v>2.1</v>
      </c>
    </row>
    <row r="15" spans="1:26" x14ac:dyDescent="0.25">
      <c r="A15" s="32" t="s">
        <v>220</v>
      </c>
      <c r="B15" s="21" t="s">
        <v>361</v>
      </c>
      <c r="C15">
        <v>16000</v>
      </c>
      <c r="D15" s="64">
        <v>9600</v>
      </c>
      <c r="E15" s="64">
        <v>9900</v>
      </c>
      <c r="F15" s="64">
        <v>9800</v>
      </c>
      <c r="G15" s="64">
        <v>8900</v>
      </c>
      <c r="H15" s="64">
        <v>7900</v>
      </c>
      <c r="I15" s="64">
        <v>6700</v>
      </c>
      <c r="J15" s="64">
        <v>5700</v>
      </c>
      <c r="K15" s="64">
        <v>5600</v>
      </c>
      <c r="L15" s="64">
        <v>5600</v>
      </c>
      <c r="M15" s="64">
        <v>5600</v>
      </c>
    </row>
    <row r="16" spans="1:26" x14ac:dyDescent="0.25">
      <c r="A16" s="32" t="s">
        <v>219</v>
      </c>
      <c r="B16" s="21" t="s">
        <v>366</v>
      </c>
      <c r="C16">
        <v>2800</v>
      </c>
      <c r="D16" s="64">
        <v>1900</v>
      </c>
      <c r="E16" s="64">
        <v>1900</v>
      </c>
      <c r="F16" s="64">
        <v>1700</v>
      </c>
      <c r="G16" s="64">
        <v>1300</v>
      </c>
      <c r="H16" s="64">
        <v>1700</v>
      </c>
      <c r="I16" s="64">
        <v>1500</v>
      </c>
      <c r="J16" s="64">
        <v>1500</v>
      </c>
      <c r="K16" s="64">
        <v>1400</v>
      </c>
      <c r="L16" s="64">
        <v>1100</v>
      </c>
      <c r="M16" s="64">
        <v>1100</v>
      </c>
    </row>
    <row r="17" spans="1:13" x14ac:dyDescent="0.25">
      <c r="A17" s="32" t="s">
        <v>218</v>
      </c>
      <c r="B17" s="21" t="s">
        <v>356</v>
      </c>
      <c r="C17">
        <v>87</v>
      </c>
      <c r="D17" s="64">
        <v>120</v>
      </c>
      <c r="E17" s="64">
        <v>130</v>
      </c>
      <c r="F17" s="64">
        <v>120</v>
      </c>
      <c r="G17" s="64">
        <v>110</v>
      </c>
      <c r="H17" s="64">
        <v>130</v>
      </c>
      <c r="I17" s="64">
        <v>130</v>
      </c>
      <c r="J17" s="64">
        <v>160</v>
      </c>
      <c r="K17" s="64">
        <v>160</v>
      </c>
      <c r="L17" s="64">
        <v>160</v>
      </c>
      <c r="M17" s="64">
        <v>160</v>
      </c>
    </row>
    <row r="18" spans="1:13" x14ac:dyDescent="0.25">
      <c r="A18" s="32" t="s">
        <v>104</v>
      </c>
      <c r="B18" s="21" t="s">
        <v>353</v>
      </c>
      <c r="C18">
        <v>6100</v>
      </c>
      <c r="D18" s="64">
        <v>8800</v>
      </c>
      <c r="E18" s="64">
        <v>9100</v>
      </c>
      <c r="F18" s="64">
        <v>9700</v>
      </c>
      <c r="G18" s="64">
        <v>10000</v>
      </c>
      <c r="H18" s="64">
        <v>11000</v>
      </c>
      <c r="I18" s="64">
        <v>11000</v>
      </c>
      <c r="J18" s="64">
        <v>11000</v>
      </c>
      <c r="K18" s="64">
        <v>12000</v>
      </c>
      <c r="L18" s="64">
        <v>12000</v>
      </c>
      <c r="M18" s="64">
        <v>13000</v>
      </c>
    </row>
    <row r="19" spans="1:13" x14ac:dyDescent="0.25">
      <c r="A19" s="32" t="s">
        <v>59</v>
      </c>
      <c r="B19" s="21" t="s">
        <v>356</v>
      </c>
      <c r="C19">
        <v>2700</v>
      </c>
      <c r="D19" s="64">
        <v>2000</v>
      </c>
      <c r="E19" s="64">
        <v>1900</v>
      </c>
      <c r="F19" s="64">
        <v>1800</v>
      </c>
      <c r="G19" s="64">
        <v>1700</v>
      </c>
      <c r="H19" s="64">
        <v>1700</v>
      </c>
      <c r="I19" s="64">
        <v>1700</v>
      </c>
      <c r="J19" s="64">
        <v>1600</v>
      </c>
      <c r="K19" s="64">
        <v>1500</v>
      </c>
      <c r="L19" s="64">
        <v>1400</v>
      </c>
      <c r="M19" s="64">
        <v>1200</v>
      </c>
    </row>
    <row r="20" spans="1:13" x14ac:dyDescent="0.25">
      <c r="A20" s="32" t="s">
        <v>58</v>
      </c>
      <c r="B20" s="21" t="s">
        <v>356</v>
      </c>
      <c r="C20">
        <v>26000</v>
      </c>
      <c r="D20" s="64">
        <v>23000</v>
      </c>
      <c r="E20" s="64">
        <v>23000</v>
      </c>
      <c r="F20" s="64">
        <v>23000</v>
      </c>
      <c r="G20" s="64">
        <v>23000</v>
      </c>
      <c r="H20" s="64">
        <v>22000</v>
      </c>
      <c r="I20" s="64">
        <v>22000</v>
      </c>
      <c r="J20" s="64">
        <v>22000</v>
      </c>
      <c r="K20" s="64">
        <v>22000</v>
      </c>
      <c r="L20" s="64">
        <v>22000</v>
      </c>
      <c r="M20" s="64">
        <v>21000</v>
      </c>
    </row>
    <row r="21" spans="1:13" x14ac:dyDescent="0.25">
      <c r="A21" s="32" t="s">
        <v>216</v>
      </c>
      <c r="B21" s="21" t="s">
        <v>361</v>
      </c>
      <c r="C21">
        <v>4700</v>
      </c>
      <c r="D21" s="64">
        <v>2900</v>
      </c>
      <c r="E21" s="64">
        <v>2400</v>
      </c>
      <c r="F21" s="64">
        <v>2600</v>
      </c>
      <c r="G21" s="64">
        <v>2500</v>
      </c>
      <c r="H21" s="64">
        <v>2300</v>
      </c>
      <c r="I21" s="64">
        <v>2300</v>
      </c>
      <c r="J21" s="64">
        <v>2300</v>
      </c>
      <c r="K21" s="64">
        <v>2100</v>
      </c>
      <c r="L21" s="64">
        <v>2100</v>
      </c>
      <c r="M21" s="64">
        <v>2300</v>
      </c>
    </row>
    <row r="22" spans="1:13" x14ac:dyDescent="0.25">
      <c r="A22" s="32" t="s">
        <v>215</v>
      </c>
      <c r="B22" s="21" t="s">
        <v>361</v>
      </c>
      <c r="C22">
        <v>4800</v>
      </c>
      <c r="D22" s="64">
        <v>7900</v>
      </c>
      <c r="E22" s="64">
        <v>8600</v>
      </c>
      <c r="F22" s="64">
        <v>9400</v>
      </c>
      <c r="G22" s="64">
        <v>10000</v>
      </c>
      <c r="H22" s="64">
        <v>10000</v>
      </c>
      <c r="I22" s="64">
        <v>10000</v>
      </c>
      <c r="J22" s="64">
        <v>9700</v>
      </c>
      <c r="K22" s="64">
        <v>10000</v>
      </c>
      <c r="L22" s="64">
        <v>10000</v>
      </c>
      <c r="M22" s="64">
        <v>10000</v>
      </c>
    </row>
    <row r="23" spans="1:13" x14ac:dyDescent="0.25">
      <c r="A23" s="32" t="s">
        <v>213</v>
      </c>
      <c r="B23" s="21" t="s">
        <v>361</v>
      </c>
      <c r="C23">
        <v>200000</v>
      </c>
      <c r="D23" s="64">
        <v>150000</v>
      </c>
      <c r="E23" s="64">
        <v>150000</v>
      </c>
      <c r="F23" s="64">
        <v>140000</v>
      </c>
      <c r="G23" s="64">
        <v>120000</v>
      </c>
      <c r="H23" s="64">
        <v>130000</v>
      </c>
      <c r="I23" s="64">
        <v>110000</v>
      </c>
      <c r="J23" s="64">
        <v>110000</v>
      </c>
      <c r="K23" s="64">
        <v>100000</v>
      </c>
      <c r="L23" s="64">
        <v>100000</v>
      </c>
      <c r="M23" s="64">
        <v>96000</v>
      </c>
    </row>
    <row r="24" spans="1:13" x14ac:dyDescent="0.25">
      <c r="A24" s="32" t="s">
        <v>212</v>
      </c>
      <c r="B24" s="21" t="s">
        <v>366</v>
      </c>
      <c r="C24">
        <v>220</v>
      </c>
      <c r="D24" s="64">
        <v>510</v>
      </c>
      <c r="E24" s="64">
        <v>280</v>
      </c>
      <c r="F24" s="64">
        <v>360</v>
      </c>
      <c r="G24" s="64">
        <v>310</v>
      </c>
      <c r="H24" s="64">
        <v>250</v>
      </c>
      <c r="I24" s="64">
        <v>220</v>
      </c>
      <c r="J24" s="64">
        <v>310</v>
      </c>
      <c r="K24" s="64">
        <v>300</v>
      </c>
      <c r="L24" s="64">
        <v>340</v>
      </c>
      <c r="M24" s="64">
        <v>290</v>
      </c>
    </row>
    <row r="25" spans="1:13" x14ac:dyDescent="0.25">
      <c r="A25" s="32" t="s">
        <v>211</v>
      </c>
      <c r="B25" s="21" t="s">
        <v>361</v>
      </c>
      <c r="C25">
        <v>6700</v>
      </c>
      <c r="D25" s="64">
        <v>4200</v>
      </c>
      <c r="E25" s="64">
        <v>5700</v>
      </c>
      <c r="F25" s="64">
        <v>4300</v>
      </c>
      <c r="G25" s="64">
        <v>4000</v>
      </c>
      <c r="H25" s="64">
        <v>3900</v>
      </c>
      <c r="I25" s="64">
        <v>4500</v>
      </c>
      <c r="J25" s="64">
        <v>4300</v>
      </c>
      <c r="K25" s="64">
        <v>3600</v>
      </c>
      <c r="L25" s="64">
        <v>4100</v>
      </c>
      <c r="M25" s="64">
        <v>3800</v>
      </c>
    </row>
    <row r="26" spans="1:13" x14ac:dyDescent="0.25">
      <c r="A26" s="32" t="s">
        <v>103</v>
      </c>
      <c r="B26" s="21" t="s">
        <v>353</v>
      </c>
      <c r="C26">
        <v>10000</v>
      </c>
      <c r="D26" s="64">
        <v>35000</v>
      </c>
      <c r="E26" s="64">
        <v>40000</v>
      </c>
      <c r="F26" s="64">
        <v>46000</v>
      </c>
      <c r="G26" s="64">
        <v>50000</v>
      </c>
      <c r="H26" s="64">
        <v>54000</v>
      </c>
      <c r="I26" s="64">
        <v>56000</v>
      </c>
      <c r="J26" s="64">
        <v>56000</v>
      </c>
      <c r="K26" s="64">
        <v>55000</v>
      </c>
      <c r="L26" s="64">
        <v>61000</v>
      </c>
      <c r="M26" s="64">
        <v>63000</v>
      </c>
    </row>
    <row r="27" spans="1:13" x14ac:dyDescent="0.25">
      <c r="A27" s="32" t="s">
        <v>102</v>
      </c>
      <c r="B27" s="21" t="s">
        <v>353</v>
      </c>
      <c r="C27">
        <v>12000</v>
      </c>
      <c r="D27" s="64">
        <v>29000</v>
      </c>
      <c r="E27" s="64">
        <v>33000</v>
      </c>
      <c r="F27" s="64">
        <v>36000</v>
      </c>
      <c r="G27" s="64">
        <v>40000</v>
      </c>
      <c r="H27" s="64">
        <v>42000</v>
      </c>
      <c r="I27" s="64">
        <v>43000</v>
      </c>
      <c r="J27" s="64">
        <v>44000</v>
      </c>
      <c r="K27" s="64">
        <v>45000</v>
      </c>
      <c r="L27" s="64">
        <v>45000</v>
      </c>
      <c r="M27" s="64">
        <v>46000</v>
      </c>
    </row>
    <row r="28" spans="1:13" x14ac:dyDescent="0.25">
      <c r="A28" s="32" t="s">
        <v>101</v>
      </c>
      <c r="B28" s="21" t="s">
        <v>353</v>
      </c>
      <c r="C28">
        <v>120000</v>
      </c>
      <c r="D28" s="64">
        <v>110000</v>
      </c>
      <c r="E28" s="64">
        <v>110000</v>
      </c>
      <c r="F28" s="64">
        <v>110000</v>
      </c>
      <c r="G28" s="64">
        <v>110000</v>
      </c>
      <c r="H28" s="64">
        <v>100000</v>
      </c>
      <c r="I28" s="64">
        <v>100000</v>
      </c>
      <c r="J28" s="64">
        <v>100000</v>
      </c>
      <c r="K28" s="64">
        <v>100000</v>
      </c>
      <c r="L28" s="64">
        <v>95000</v>
      </c>
      <c r="M28" s="64">
        <v>100000</v>
      </c>
    </row>
    <row r="29" spans="1:13" x14ac:dyDescent="0.25">
      <c r="A29" s="32" t="s">
        <v>57</v>
      </c>
      <c r="B29" s="21" t="s">
        <v>356</v>
      </c>
      <c r="C29">
        <v>15000</v>
      </c>
      <c r="D29" s="64">
        <v>36000</v>
      </c>
      <c r="E29" s="64">
        <v>39000</v>
      </c>
      <c r="F29" s="64">
        <v>41000</v>
      </c>
      <c r="G29" s="64">
        <v>42000</v>
      </c>
      <c r="H29" s="64">
        <v>42000</v>
      </c>
      <c r="I29" s="64">
        <v>41000</v>
      </c>
      <c r="J29" s="64">
        <v>39000</v>
      </c>
      <c r="K29" s="64">
        <v>38000</v>
      </c>
      <c r="L29" s="64">
        <v>38000</v>
      </c>
      <c r="M29" s="64">
        <v>37000</v>
      </c>
    </row>
    <row r="30" spans="1:13" x14ac:dyDescent="0.25">
      <c r="A30" s="32" t="s">
        <v>210</v>
      </c>
      <c r="B30" s="21" t="s">
        <v>366</v>
      </c>
      <c r="C30">
        <v>3200</v>
      </c>
      <c r="D30" s="64">
        <v>2300</v>
      </c>
      <c r="E30" s="64">
        <v>2300</v>
      </c>
      <c r="F30" s="64">
        <v>2200</v>
      </c>
      <c r="G30" s="64">
        <v>2200</v>
      </c>
      <c r="H30" s="64">
        <v>2100</v>
      </c>
      <c r="I30" s="64">
        <v>2100</v>
      </c>
      <c r="J30" s="64">
        <v>2000</v>
      </c>
      <c r="K30" s="64">
        <v>2100</v>
      </c>
      <c r="L30" s="64">
        <v>1900</v>
      </c>
      <c r="M30" s="64">
        <v>2000</v>
      </c>
    </row>
    <row r="31" spans="1:13" x14ac:dyDescent="0.25">
      <c r="A31" s="32" t="s">
        <v>56</v>
      </c>
      <c r="B31" s="21" t="s">
        <v>356</v>
      </c>
      <c r="C31">
        <v>1000</v>
      </c>
      <c r="D31" s="64">
        <v>1300</v>
      </c>
      <c r="E31" s="64">
        <v>1400</v>
      </c>
      <c r="F31" s="64">
        <v>1400</v>
      </c>
      <c r="G31" s="64">
        <v>1400</v>
      </c>
      <c r="H31" s="64">
        <v>1400</v>
      </c>
      <c r="I31" s="64">
        <v>1400</v>
      </c>
      <c r="J31" s="64">
        <v>1500</v>
      </c>
      <c r="K31" s="64">
        <v>1400</v>
      </c>
      <c r="L31" s="64">
        <v>1400</v>
      </c>
      <c r="M31" s="64">
        <v>1100</v>
      </c>
    </row>
    <row r="32" spans="1:13" x14ac:dyDescent="0.25">
      <c r="A32" s="32" t="s">
        <v>100</v>
      </c>
      <c r="B32" s="21" t="s">
        <v>353</v>
      </c>
      <c r="C32">
        <v>6200</v>
      </c>
      <c r="D32" s="64">
        <v>13000</v>
      </c>
      <c r="E32" s="64">
        <v>14000</v>
      </c>
      <c r="F32" s="64">
        <v>16000</v>
      </c>
      <c r="G32" s="64">
        <v>17000</v>
      </c>
      <c r="H32" s="64">
        <v>19000</v>
      </c>
      <c r="I32" s="64">
        <v>19000</v>
      </c>
      <c r="J32" s="64">
        <v>18000</v>
      </c>
      <c r="K32" s="64">
        <v>18000</v>
      </c>
      <c r="L32" s="64">
        <v>18000</v>
      </c>
      <c r="M32" s="64">
        <v>17000</v>
      </c>
    </row>
    <row r="33" spans="1:13" x14ac:dyDescent="0.25">
      <c r="A33" s="32" t="s">
        <v>99</v>
      </c>
      <c r="B33" s="21" t="s">
        <v>353</v>
      </c>
      <c r="C33">
        <v>14000</v>
      </c>
      <c r="D33" s="64">
        <v>37000</v>
      </c>
      <c r="E33" s="64">
        <v>41000</v>
      </c>
      <c r="F33" s="64">
        <v>46000</v>
      </c>
      <c r="G33" s="64">
        <v>50000</v>
      </c>
      <c r="H33" s="64">
        <v>52000</v>
      </c>
      <c r="I33" s="64">
        <v>52000</v>
      </c>
      <c r="J33" s="64">
        <v>52000</v>
      </c>
      <c r="K33" s="64">
        <v>52000</v>
      </c>
      <c r="L33" s="64">
        <v>51000</v>
      </c>
      <c r="M33" s="64">
        <v>51000</v>
      </c>
    </row>
    <row r="34" spans="1:13" x14ac:dyDescent="0.25">
      <c r="A34" s="32" t="s">
        <v>209</v>
      </c>
      <c r="B34" s="21" t="s">
        <v>361</v>
      </c>
      <c r="C34">
        <v>6300</v>
      </c>
      <c r="D34" s="64">
        <v>3400</v>
      </c>
      <c r="E34" s="64">
        <v>3100</v>
      </c>
      <c r="F34" s="64">
        <v>3100</v>
      </c>
      <c r="G34" s="64">
        <v>2900</v>
      </c>
      <c r="H34" s="64">
        <v>2600</v>
      </c>
      <c r="I34" s="64">
        <v>2700</v>
      </c>
      <c r="J34" s="64">
        <v>2600</v>
      </c>
      <c r="K34" s="64">
        <v>2600</v>
      </c>
      <c r="L34" s="64">
        <v>2600</v>
      </c>
      <c r="M34" s="64">
        <v>2600</v>
      </c>
    </row>
    <row r="35" spans="1:13" x14ac:dyDescent="0.25">
      <c r="A35" s="32" t="s">
        <v>55</v>
      </c>
      <c r="B35" s="21" t="s">
        <v>823</v>
      </c>
      <c r="C35" s="40">
        <v>3200000</v>
      </c>
      <c r="D35" s="64">
        <v>2700000</v>
      </c>
      <c r="E35" s="64">
        <v>2700000</v>
      </c>
      <c r="F35" s="64">
        <v>2600000</v>
      </c>
      <c r="G35" s="64">
        <v>2400000</v>
      </c>
      <c r="H35" s="64">
        <v>2200000</v>
      </c>
      <c r="I35" s="64">
        <v>2000000</v>
      </c>
      <c r="J35" s="64">
        <v>1900000</v>
      </c>
      <c r="K35" s="64">
        <v>1900000</v>
      </c>
      <c r="L35" s="64">
        <v>1900000</v>
      </c>
      <c r="M35" s="64">
        <v>1900000</v>
      </c>
    </row>
    <row r="36" spans="1:13" x14ac:dyDescent="0.25">
      <c r="A36" s="32" t="s">
        <v>533</v>
      </c>
      <c r="B36" s="21" t="s">
        <v>366</v>
      </c>
      <c r="C36">
        <v>11000</v>
      </c>
      <c r="D36" s="64">
        <v>8700</v>
      </c>
      <c r="E36" s="64">
        <v>11000</v>
      </c>
      <c r="F36" s="64">
        <v>9200</v>
      </c>
      <c r="G36" s="64">
        <v>8600</v>
      </c>
      <c r="H36" s="64">
        <v>8300</v>
      </c>
      <c r="I36" s="64">
        <v>8400</v>
      </c>
      <c r="J36" s="64">
        <v>8200</v>
      </c>
      <c r="K36" s="64">
        <v>7700</v>
      </c>
      <c r="L36" s="64">
        <v>8400</v>
      </c>
      <c r="M36" s="64">
        <v>6900</v>
      </c>
    </row>
    <row r="37" spans="1:13" x14ac:dyDescent="0.25">
      <c r="A37" s="32" t="s">
        <v>531</v>
      </c>
      <c r="B37" s="21" t="s">
        <v>366</v>
      </c>
      <c r="C37">
        <v>610</v>
      </c>
      <c r="D37" s="64">
        <v>660</v>
      </c>
      <c r="E37" s="64">
        <v>730</v>
      </c>
      <c r="F37" s="64">
        <v>540</v>
      </c>
      <c r="G37" s="64">
        <v>570</v>
      </c>
      <c r="H37" s="64">
        <v>410</v>
      </c>
      <c r="I37" s="64">
        <v>540</v>
      </c>
      <c r="J37" s="64">
        <v>570</v>
      </c>
      <c r="K37" s="64">
        <v>480</v>
      </c>
      <c r="L37" s="64">
        <v>560</v>
      </c>
      <c r="M37" s="64">
        <v>390</v>
      </c>
    </row>
    <row r="38" spans="1:13" x14ac:dyDescent="0.25">
      <c r="A38" s="32" t="s">
        <v>208</v>
      </c>
      <c r="B38" s="21" t="s">
        <v>361</v>
      </c>
      <c r="C38">
        <v>27000</v>
      </c>
      <c r="D38" s="64">
        <v>25000</v>
      </c>
      <c r="E38" s="64">
        <v>25000</v>
      </c>
      <c r="F38" s="64">
        <v>24000</v>
      </c>
      <c r="G38" s="64">
        <v>24000</v>
      </c>
      <c r="H38" s="64">
        <v>25000</v>
      </c>
      <c r="I38" s="64">
        <v>25000</v>
      </c>
      <c r="J38" s="64">
        <v>25000</v>
      </c>
      <c r="K38" s="64">
        <v>25000</v>
      </c>
      <c r="L38" s="64">
        <v>23000</v>
      </c>
      <c r="M38" s="64">
        <v>22000</v>
      </c>
    </row>
    <row r="39" spans="1:13" x14ac:dyDescent="0.25">
      <c r="A39" s="32" t="s">
        <v>98</v>
      </c>
      <c r="B39" s="21" t="s">
        <v>353</v>
      </c>
      <c r="C39">
        <v>750</v>
      </c>
      <c r="D39" s="64">
        <v>580</v>
      </c>
      <c r="E39" s="64">
        <v>580</v>
      </c>
      <c r="F39" s="64">
        <v>590</v>
      </c>
      <c r="G39" s="64">
        <v>600</v>
      </c>
      <c r="H39" s="64">
        <v>580</v>
      </c>
      <c r="I39" s="64">
        <v>550</v>
      </c>
      <c r="J39" s="64">
        <v>520</v>
      </c>
      <c r="K39" s="64">
        <v>500</v>
      </c>
      <c r="L39" s="64">
        <v>480</v>
      </c>
      <c r="M39" s="64">
        <v>460</v>
      </c>
    </row>
    <row r="40" spans="1:13" x14ac:dyDescent="0.25">
      <c r="A40" s="32" t="s">
        <v>207</v>
      </c>
      <c r="B40" s="21" t="s">
        <v>356</v>
      </c>
      <c r="C40">
        <v>6400</v>
      </c>
      <c r="D40" s="64">
        <v>12000</v>
      </c>
      <c r="E40" s="64">
        <v>13000</v>
      </c>
      <c r="F40" s="64">
        <v>15000</v>
      </c>
      <c r="G40" s="64">
        <v>17000</v>
      </c>
      <c r="H40" s="64">
        <v>18000</v>
      </c>
      <c r="I40" s="64">
        <v>18000</v>
      </c>
      <c r="J40" s="64">
        <v>18000</v>
      </c>
      <c r="K40" s="64">
        <v>18000</v>
      </c>
      <c r="L40" s="64">
        <v>17000</v>
      </c>
      <c r="M40" s="64">
        <v>17000</v>
      </c>
    </row>
    <row r="41" spans="1:13" x14ac:dyDescent="0.25">
      <c r="A41" s="32" t="s">
        <v>205</v>
      </c>
      <c r="B41" s="21" t="s">
        <v>361</v>
      </c>
      <c r="C41">
        <v>1100</v>
      </c>
      <c r="D41" s="64">
        <v>720</v>
      </c>
      <c r="E41" s="64">
        <v>610</v>
      </c>
      <c r="F41" s="64">
        <v>590</v>
      </c>
      <c r="G41" s="64">
        <v>640</v>
      </c>
      <c r="H41" s="64">
        <v>620</v>
      </c>
      <c r="I41" s="64">
        <v>590</v>
      </c>
      <c r="J41" s="64">
        <v>540</v>
      </c>
      <c r="K41" s="64">
        <v>540</v>
      </c>
      <c r="L41" s="64">
        <v>520</v>
      </c>
      <c r="M41" s="64">
        <v>500</v>
      </c>
    </row>
    <row r="42" spans="1:13" x14ac:dyDescent="0.25">
      <c r="A42" s="32" t="s">
        <v>53</v>
      </c>
      <c r="B42" s="21" t="s">
        <v>356</v>
      </c>
      <c r="C42">
        <v>37000</v>
      </c>
      <c r="D42" s="64">
        <v>85000</v>
      </c>
      <c r="E42" s="64">
        <v>96000</v>
      </c>
      <c r="F42" s="64">
        <v>110000</v>
      </c>
      <c r="G42" s="64">
        <v>120000</v>
      </c>
      <c r="H42" s="64">
        <v>120000</v>
      </c>
      <c r="I42" s="64">
        <v>120000</v>
      </c>
      <c r="J42" s="64">
        <v>130000</v>
      </c>
      <c r="K42" s="64">
        <v>130000</v>
      </c>
      <c r="L42" s="64">
        <v>130000</v>
      </c>
      <c r="M42" s="64">
        <v>130000</v>
      </c>
    </row>
    <row r="43" spans="1:13" x14ac:dyDescent="0.25">
      <c r="A43" s="32" t="s">
        <v>203</v>
      </c>
      <c r="B43" s="21" t="s">
        <v>366</v>
      </c>
      <c r="C43">
        <v>4700</v>
      </c>
      <c r="D43" s="64">
        <v>2500</v>
      </c>
      <c r="E43" s="64">
        <v>1900</v>
      </c>
      <c r="F43" s="64">
        <v>2200</v>
      </c>
      <c r="G43" s="64">
        <v>2000</v>
      </c>
      <c r="H43" s="64">
        <v>1700</v>
      </c>
      <c r="I43" s="64">
        <v>1500</v>
      </c>
      <c r="J43" s="64">
        <v>1500</v>
      </c>
      <c r="K43" s="64">
        <v>1400</v>
      </c>
      <c r="L43" s="64">
        <v>1500</v>
      </c>
      <c r="M43" s="64">
        <v>1400</v>
      </c>
    </row>
    <row r="44" spans="1:13" x14ac:dyDescent="0.25">
      <c r="A44" s="32" t="s">
        <v>202</v>
      </c>
      <c r="B44" s="21" t="s">
        <v>361</v>
      </c>
      <c r="C44">
        <v>6000</v>
      </c>
      <c r="D44" s="64">
        <v>1600</v>
      </c>
      <c r="E44" s="64">
        <v>1500</v>
      </c>
      <c r="F44" s="64">
        <v>1400</v>
      </c>
      <c r="G44" s="64">
        <v>1300</v>
      </c>
      <c r="H44" s="64">
        <v>1200</v>
      </c>
      <c r="I44" s="64">
        <v>1000</v>
      </c>
      <c r="J44" s="64">
        <v>860</v>
      </c>
      <c r="K44" s="64">
        <v>840</v>
      </c>
      <c r="L44" s="64">
        <v>800</v>
      </c>
      <c r="M44" s="64">
        <v>840</v>
      </c>
    </row>
    <row r="45" spans="1:13" x14ac:dyDescent="0.25">
      <c r="A45" s="32" t="s">
        <v>201</v>
      </c>
      <c r="B45" s="21" t="s">
        <v>366</v>
      </c>
      <c r="C45">
        <v>41</v>
      </c>
      <c r="D45" s="64">
        <v>43</v>
      </c>
      <c r="E45" s="64">
        <v>71</v>
      </c>
      <c r="F45" s="64">
        <v>35</v>
      </c>
      <c r="G45" s="64">
        <v>61</v>
      </c>
      <c r="H45" s="64">
        <v>40</v>
      </c>
      <c r="I45" s="64">
        <v>51</v>
      </c>
      <c r="J45" s="64">
        <v>52</v>
      </c>
      <c r="K45" s="64">
        <v>62</v>
      </c>
      <c r="L45" s="64">
        <v>60</v>
      </c>
      <c r="M45" s="64">
        <v>59</v>
      </c>
    </row>
    <row r="46" spans="1:13" x14ac:dyDescent="0.25">
      <c r="A46" s="32" t="s">
        <v>200</v>
      </c>
      <c r="B46" s="21" t="s">
        <v>366</v>
      </c>
      <c r="C46">
        <v>3200</v>
      </c>
      <c r="D46" s="64">
        <v>2000</v>
      </c>
      <c r="E46" s="64">
        <v>1900</v>
      </c>
      <c r="F46" s="64">
        <v>1700</v>
      </c>
      <c r="G46" s="64">
        <v>1600</v>
      </c>
      <c r="H46" s="64">
        <v>1500</v>
      </c>
      <c r="I46" s="64">
        <v>1400</v>
      </c>
      <c r="J46" s="64">
        <v>1400</v>
      </c>
      <c r="K46" s="64">
        <v>1100</v>
      </c>
      <c r="L46" s="64">
        <v>1200</v>
      </c>
      <c r="M46" s="64">
        <v>1100</v>
      </c>
    </row>
    <row r="47" spans="1:13" x14ac:dyDescent="0.25">
      <c r="A47" s="32" t="s">
        <v>520</v>
      </c>
      <c r="B47" s="21" t="s">
        <v>353</v>
      </c>
      <c r="C47">
        <v>95000</v>
      </c>
      <c r="D47" s="64">
        <v>160000</v>
      </c>
      <c r="E47" s="64">
        <v>150000</v>
      </c>
      <c r="F47" s="64">
        <v>150000</v>
      </c>
      <c r="G47" s="64">
        <v>140000</v>
      </c>
      <c r="H47" s="64">
        <v>140000</v>
      </c>
      <c r="I47" s="64">
        <v>140000</v>
      </c>
      <c r="J47" s="64">
        <v>140000</v>
      </c>
      <c r="K47" s="64">
        <v>120000</v>
      </c>
      <c r="L47" s="64">
        <v>110000</v>
      </c>
      <c r="M47" s="64">
        <v>100000</v>
      </c>
    </row>
    <row r="48" spans="1:13" x14ac:dyDescent="0.25">
      <c r="A48" s="32" t="s">
        <v>198</v>
      </c>
      <c r="B48" s="21" t="s">
        <v>353</v>
      </c>
      <c r="C48">
        <v>110000</v>
      </c>
      <c r="D48" s="64">
        <v>320000</v>
      </c>
      <c r="E48" s="64">
        <v>360000</v>
      </c>
      <c r="F48" s="64">
        <v>400000</v>
      </c>
      <c r="G48" s="64">
        <v>430000</v>
      </c>
      <c r="H48" s="64">
        <v>440000</v>
      </c>
      <c r="I48" s="64">
        <v>440000</v>
      </c>
      <c r="J48" s="64">
        <v>440000</v>
      </c>
      <c r="K48" s="64">
        <v>440000</v>
      </c>
      <c r="L48" s="64">
        <v>430000</v>
      </c>
      <c r="M48" s="64">
        <v>430000</v>
      </c>
    </row>
    <row r="49" spans="1:13" x14ac:dyDescent="0.25">
      <c r="A49" s="32" t="s">
        <v>197</v>
      </c>
      <c r="B49" s="21" t="s">
        <v>366</v>
      </c>
      <c r="C49">
        <v>610</v>
      </c>
      <c r="D49" s="64">
        <v>900</v>
      </c>
      <c r="E49" s="64">
        <v>720</v>
      </c>
      <c r="F49" s="64">
        <v>560</v>
      </c>
      <c r="G49" s="64">
        <v>550</v>
      </c>
      <c r="H49" s="64">
        <v>490</v>
      </c>
      <c r="I49" s="64">
        <v>620</v>
      </c>
      <c r="J49" s="64">
        <v>470</v>
      </c>
      <c r="K49" s="64">
        <v>530</v>
      </c>
      <c r="L49" s="64">
        <v>470</v>
      </c>
      <c r="M49" s="64">
        <v>450</v>
      </c>
    </row>
    <row r="50" spans="1:13" x14ac:dyDescent="0.25">
      <c r="A50" s="32" t="s">
        <v>52</v>
      </c>
      <c r="B50" s="21" t="s">
        <v>356</v>
      </c>
      <c r="C50">
        <v>5000</v>
      </c>
      <c r="D50" s="64">
        <v>5100</v>
      </c>
      <c r="E50" s="64">
        <v>5700</v>
      </c>
      <c r="F50" s="64">
        <v>6300</v>
      </c>
      <c r="G50" s="64">
        <v>6900</v>
      </c>
      <c r="H50" s="64">
        <v>7200</v>
      </c>
      <c r="I50" s="64">
        <v>7400</v>
      </c>
      <c r="J50" s="64">
        <v>7500</v>
      </c>
      <c r="K50" s="64">
        <v>7500</v>
      </c>
      <c r="L50" s="64">
        <v>7300</v>
      </c>
      <c r="M50" s="64">
        <v>7500</v>
      </c>
    </row>
    <row r="51" spans="1:13" x14ac:dyDescent="0.25">
      <c r="A51" s="32" t="s">
        <v>195</v>
      </c>
      <c r="B51" s="21" t="s">
        <v>361</v>
      </c>
      <c r="C51">
        <v>23000</v>
      </c>
      <c r="D51" s="64">
        <v>14000</v>
      </c>
      <c r="E51" s="64">
        <v>14000</v>
      </c>
      <c r="F51" s="64">
        <v>14000</v>
      </c>
      <c r="G51" s="64">
        <v>13000</v>
      </c>
      <c r="H51" s="64">
        <v>12000</v>
      </c>
      <c r="I51" s="64">
        <v>12000</v>
      </c>
      <c r="J51" s="64">
        <v>12000</v>
      </c>
      <c r="K51" s="64">
        <v>12000</v>
      </c>
      <c r="L51" s="64">
        <v>11000</v>
      </c>
      <c r="M51" s="64">
        <v>11000</v>
      </c>
    </row>
    <row r="52" spans="1:13" x14ac:dyDescent="0.25">
      <c r="A52" s="32" t="s">
        <v>51</v>
      </c>
      <c r="B52" s="21" t="s">
        <v>361</v>
      </c>
      <c r="C52">
        <v>33000</v>
      </c>
      <c r="D52" s="64">
        <v>22000</v>
      </c>
      <c r="E52" s="64">
        <v>21000</v>
      </c>
      <c r="F52" s="64">
        <v>20000</v>
      </c>
      <c r="G52" s="64">
        <v>19000</v>
      </c>
      <c r="H52" s="64">
        <v>19000</v>
      </c>
      <c r="I52" s="64">
        <v>19000</v>
      </c>
      <c r="J52" s="64">
        <v>18000</v>
      </c>
      <c r="K52" s="64">
        <v>17000</v>
      </c>
      <c r="L52" s="64">
        <v>16000</v>
      </c>
      <c r="M52" s="64">
        <v>15000</v>
      </c>
    </row>
    <row r="53" spans="1:13" x14ac:dyDescent="0.25">
      <c r="A53" s="32" t="s">
        <v>194</v>
      </c>
      <c r="B53" s="21" t="s">
        <v>356</v>
      </c>
      <c r="C53">
        <v>46000</v>
      </c>
      <c r="D53" s="64">
        <v>30000</v>
      </c>
      <c r="E53" s="64">
        <v>29000</v>
      </c>
      <c r="F53" s="64">
        <v>28000</v>
      </c>
      <c r="G53" s="64">
        <v>27000</v>
      </c>
      <c r="H53" s="64">
        <v>25000</v>
      </c>
      <c r="I53" s="64">
        <v>25000</v>
      </c>
      <c r="J53" s="64">
        <v>25000</v>
      </c>
      <c r="K53" s="64">
        <v>26000</v>
      </c>
      <c r="L53" s="64">
        <v>25000</v>
      </c>
      <c r="M53" s="64">
        <v>25000</v>
      </c>
    </row>
    <row r="54" spans="1:13" x14ac:dyDescent="0.25">
      <c r="A54" s="32" t="s">
        <v>49</v>
      </c>
      <c r="B54" s="21" t="s">
        <v>356</v>
      </c>
      <c r="C54">
        <v>5100</v>
      </c>
      <c r="D54" s="64">
        <v>3100</v>
      </c>
      <c r="E54" s="64">
        <v>3000</v>
      </c>
      <c r="F54" s="64">
        <v>3300</v>
      </c>
      <c r="G54" s="64">
        <v>2700</v>
      </c>
      <c r="H54" s="64">
        <v>2600</v>
      </c>
      <c r="I54" s="64">
        <v>3300</v>
      </c>
      <c r="J54" s="64">
        <v>2600</v>
      </c>
      <c r="K54" s="64">
        <v>2400</v>
      </c>
      <c r="L54" s="64">
        <v>2300</v>
      </c>
      <c r="M54" s="64">
        <v>2000</v>
      </c>
    </row>
    <row r="55" spans="1:13" x14ac:dyDescent="0.25">
      <c r="A55" s="32" t="s">
        <v>193</v>
      </c>
      <c r="B55" s="21" t="s">
        <v>366</v>
      </c>
      <c r="C55">
        <v>410</v>
      </c>
      <c r="D55" s="64">
        <v>630</v>
      </c>
      <c r="E55" s="64">
        <v>660</v>
      </c>
      <c r="F55" s="64">
        <v>700</v>
      </c>
      <c r="G55" s="64">
        <v>730</v>
      </c>
      <c r="H55" s="64">
        <v>740</v>
      </c>
      <c r="I55" s="64">
        <v>790</v>
      </c>
      <c r="J55" s="64">
        <v>850</v>
      </c>
      <c r="K55" s="64">
        <v>910</v>
      </c>
      <c r="L55" s="64">
        <v>1000</v>
      </c>
      <c r="M55" s="64">
        <v>870</v>
      </c>
    </row>
    <row r="56" spans="1:13" x14ac:dyDescent="0.25">
      <c r="A56" s="32" t="s">
        <v>96</v>
      </c>
      <c r="B56" s="21" t="s">
        <v>353</v>
      </c>
      <c r="C56">
        <v>3900</v>
      </c>
      <c r="D56" s="64">
        <v>5100</v>
      </c>
      <c r="E56" s="64">
        <v>4000</v>
      </c>
      <c r="F56" s="64">
        <v>3500</v>
      </c>
      <c r="G56" s="64">
        <v>3800</v>
      </c>
      <c r="H56" s="64">
        <v>4100</v>
      </c>
      <c r="I56" s="64">
        <v>4600</v>
      </c>
      <c r="J56" s="64">
        <v>5300</v>
      </c>
      <c r="K56" s="64">
        <v>6800</v>
      </c>
      <c r="L56" s="64">
        <v>5600</v>
      </c>
      <c r="M56" s="64">
        <v>7200</v>
      </c>
    </row>
    <row r="57" spans="1:13" x14ac:dyDescent="0.25">
      <c r="A57" s="32" t="s">
        <v>192</v>
      </c>
      <c r="B57" s="21" t="s">
        <v>366</v>
      </c>
      <c r="C57">
        <v>2000</v>
      </c>
      <c r="D57" s="64">
        <v>1300</v>
      </c>
      <c r="E57" s="64">
        <v>1000</v>
      </c>
      <c r="F57" s="64">
        <v>880</v>
      </c>
      <c r="G57" s="64">
        <v>760</v>
      </c>
      <c r="H57" s="64">
        <v>770</v>
      </c>
      <c r="I57" s="64">
        <v>660</v>
      </c>
      <c r="J57" s="64">
        <v>530</v>
      </c>
      <c r="K57" s="64">
        <v>640</v>
      </c>
      <c r="L57" s="64">
        <v>540</v>
      </c>
      <c r="M57" s="64">
        <v>450</v>
      </c>
    </row>
    <row r="58" spans="1:13" x14ac:dyDescent="0.25">
      <c r="A58" s="32" t="s">
        <v>95</v>
      </c>
      <c r="B58" s="21" t="s">
        <v>353</v>
      </c>
      <c r="C58">
        <v>85000</v>
      </c>
      <c r="D58" s="64">
        <v>350000</v>
      </c>
      <c r="E58" s="64">
        <v>380000</v>
      </c>
      <c r="F58" s="64">
        <v>420000</v>
      </c>
      <c r="G58" s="64">
        <v>450000</v>
      </c>
      <c r="H58" s="64">
        <v>470000</v>
      </c>
      <c r="I58" s="64">
        <v>490000</v>
      </c>
      <c r="J58" s="64">
        <v>490000</v>
      </c>
      <c r="K58" s="64">
        <v>490000</v>
      </c>
      <c r="L58" s="64">
        <v>480000</v>
      </c>
      <c r="M58" s="64">
        <v>470000</v>
      </c>
    </row>
    <row r="59" spans="1:13" x14ac:dyDescent="0.25">
      <c r="A59" s="32" t="s">
        <v>191</v>
      </c>
      <c r="B59" s="21" t="s">
        <v>361</v>
      </c>
      <c r="C59">
        <v>580</v>
      </c>
      <c r="D59" s="64">
        <v>350</v>
      </c>
      <c r="E59" s="64">
        <v>350</v>
      </c>
      <c r="F59" s="64">
        <v>300</v>
      </c>
      <c r="G59" s="64">
        <v>300</v>
      </c>
      <c r="H59" s="64">
        <v>280</v>
      </c>
      <c r="I59" s="64">
        <v>300</v>
      </c>
      <c r="J59" s="64">
        <v>280</v>
      </c>
      <c r="K59" s="64">
        <v>280</v>
      </c>
      <c r="L59" s="64">
        <v>250</v>
      </c>
      <c r="M59" s="64">
        <v>220</v>
      </c>
    </row>
    <row r="60" spans="1:13" x14ac:dyDescent="0.25">
      <c r="A60" s="32" t="s">
        <v>190</v>
      </c>
      <c r="B60" s="21" t="s">
        <v>366</v>
      </c>
      <c r="C60">
        <v>1300</v>
      </c>
      <c r="D60" s="64">
        <v>780</v>
      </c>
      <c r="E60" s="64">
        <v>650</v>
      </c>
      <c r="F60" s="64">
        <v>680</v>
      </c>
      <c r="G60" s="64">
        <v>580</v>
      </c>
      <c r="H60" s="64">
        <v>430</v>
      </c>
      <c r="I60" s="64">
        <v>530</v>
      </c>
      <c r="J60" s="64">
        <v>370</v>
      </c>
      <c r="K60" s="64">
        <v>430</v>
      </c>
      <c r="L60" s="64">
        <v>460</v>
      </c>
      <c r="M60" s="64">
        <v>640</v>
      </c>
    </row>
    <row r="61" spans="1:13" x14ac:dyDescent="0.25">
      <c r="A61" s="32" t="s">
        <v>189</v>
      </c>
      <c r="B61" s="21" t="s">
        <v>366</v>
      </c>
      <c r="C61">
        <v>15000</v>
      </c>
      <c r="D61" s="64">
        <v>8900</v>
      </c>
      <c r="E61" s="64">
        <v>8200</v>
      </c>
      <c r="F61" s="64">
        <v>8100</v>
      </c>
      <c r="G61" s="64">
        <v>8500</v>
      </c>
      <c r="H61" s="64">
        <v>6900</v>
      </c>
      <c r="I61" s="64">
        <v>6900</v>
      </c>
      <c r="J61" s="64">
        <v>6600</v>
      </c>
      <c r="K61" s="64">
        <v>8600</v>
      </c>
      <c r="L61" s="64">
        <v>4300</v>
      </c>
      <c r="M61" s="64">
        <v>4600</v>
      </c>
    </row>
    <row r="62" spans="1:13" x14ac:dyDescent="0.25">
      <c r="A62" s="32" t="s">
        <v>188</v>
      </c>
      <c r="B62" s="21" t="s">
        <v>361</v>
      </c>
      <c r="C62">
        <v>2100</v>
      </c>
      <c r="D62" s="64">
        <v>3600</v>
      </c>
      <c r="E62" s="64">
        <v>3800</v>
      </c>
      <c r="F62" s="64">
        <v>4200</v>
      </c>
      <c r="G62" s="64">
        <v>4300</v>
      </c>
      <c r="H62" s="64">
        <v>4600</v>
      </c>
      <c r="I62" s="64">
        <v>5100</v>
      </c>
      <c r="J62" s="64">
        <v>5900</v>
      </c>
      <c r="K62" s="64">
        <v>6800</v>
      </c>
      <c r="L62" s="64">
        <v>7200</v>
      </c>
      <c r="M62" s="64">
        <v>8900</v>
      </c>
    </row>
    <row r="63" spans="1:13" x14ac:dyDescent="0.25">
      <c r="A63" s="32" t="s">
        <v>187</v>
      </c>
      <c r="B63" s="21" t="s">
        <v>353</v>
      </c>
      <c r="C63">
        <v>4200</v>
      </c>
      <c r="D63" s="64">
        <v>4900</v>
      </c>
      <c r="E63" s="64">
        <v>5100</v>
      </c>
      <c r="F63" s="64">
        <v>5200</v>
      </c>
      <c r="G63" s="64">
        <v>5400</v>
      </c>
      <c r="H63" s="64">
        <v>5700</v>
      </c>
      <c r="I63" s="64">
        <v>6100</v>
      </c>
      <c r="J63" s="64">
        <v>6600</v>
      </c>
      <c r="K63" s="64">
        <v>6900</v>
      </c>
      <c r="L63" s="64">
        <v>7000</v>
      </c>
      <c r="M63" s="64">
        <v>7300</v>
      </c>
    </row>
    <row r="64" spans="1:13" x14ac:dyDescent="0.25">
      <c r="A64" s="32" t="s">
        <v>48</v>
      </c>
      <c r="B64" s="21" t="s">
        <v>356</v>
      </c>
      <c r="C64">
        <v>12000</v>
      </c>
      <c r="D64" s="64">
        <v>6500</v>
      </c>
      <c r="E64" s="64">
        <v>6400</v>
      </c>
      <c r="F64" s="64">
        <v>6400</v>
      </c>
      <c r="G64" s="64">
        <v>6200</v>
      </c>
      <c r="H64" s="64">
        <v>6100</v>
      </c>
      <c r="I64" s="64">
        <v>5800</v>
      </c>
      <c r="J64" s="64">
        <v>5500</v>
      </c>
      <c r="K64" s="64">
        <v>5400</v>
      </c>
      <c r="L64" s="64">
        <v>5200</v>
      </c>
      <c r="M64" s="64">
        <v>4900</v>
      </c>
    </row>
    <row r="65" spans="1:13" x14ac:dyDescent="0.25">
      <c r="A65" s="32" t="s">
        <v>186</v>
      </c>
      <c r="B65" s="21" t="s">
        <v>366</v>
      </c>
      <c r="C65">
        <v>26000</v>
      </c>
      <c r="D65" s="64">
        <v>14000</v>
      </c>
      <c r="E65" s="64">
        <v>9200</v>
      </c>
      <c r="F65" s="64">
        <v>10000</v>
      </c>
      <c r="G65" s="64">
        <v>9600</v>
      </c>
      <c r="H65" s="64">
        <v>8700</v>
      </c>
      <c r="I65" s="64">
        <v>8100</v>
      </c>
      <c r="J65" s="64">
        <v>7200</v>
      </c>
      <c r="K65" s="64">
        <v>6900</v>
      </c>
      <c r="L65" s="64">
        <v>4900</v>
      </c>
      <c r="M65" s="64">
        <v>4900</v>
      </c>
    </row>
    <row r="66" spans="1:13" x14ac:dyDescent="0.25">
      <c r="A66" s="32" t="s">
        <v>93</v>
      </c>
      <c r="B66" s="21" t="s">
        <v>356</v>
      </c>
      <c r="C66">
        <v>72000</v>
      </c>
      <c r="D66" s="64">
        <v>72000</v>
      </c>
      <c r="E66" s="64">
        <v>73000</v>
      </c>
      <c r="F66" s="64">
        <v>74000</v>
      </c>
      <c r="G66" s="64">
        <v>76000</v>
      </c>
      <c r="H66" s="64">
        <v>77000</v>
      </c>
      <c r="I66" s="64">
        <v>79000</v>
      </c>
      <c r="J66" s="64">
        <v>81000</v>
      </c>
      <c r="K66" s="64">
        <v>84000</v>
      </c>
      <c r="L66" s="64">
        <v>85000</v>
      </c>
      <c r="M66" s="64">
        <v>78000</v>
      </c>
    </row>
    <row r="67" spans="1:13" x14ac:dyDescent="0.25">
      <c r="A67" s="32" t="s">
        <v>185</v>
      </c>
      <c r="B67" s="21" t="s">
        <v>366</v>
      </c>
      <c r="C67">
        <v>1600</v>
      </c>
      <c r="D67" s="64">
        <v>1000</v>
      </c>
      <c r="E67" s="64">
        <v>640</v>
      </c>
      <c r="F67" s="64">
        <v>860</v>
      </c>
      <c r="G67" s="64">
        <v>790</v>
      </c>
      <c r="H67" s="64">
        <v>1000</v>
      </c>
      <c r="I67" s="64">
        <v>910</v>
      </c>
      <c r="J67" s="64">
        <v>820</v>
      </c>
      <c r="K67" s="64">
        <v>890</v>
      </c>
      <c r="L67" s="64">
        <v>790</v>
      </c>
      <c r="M67" s="64">
        <v>560</v>
      </c>
    </row>
    <row r="68" spans="1:13" x14ac:dyDescent="0.25">
      <c r="A68" s="32" t="s">
        <v>184</v>
      </c>
      <c r="B68" s="21" t="s">
        <v>361</v>
      </c>
      <c r="C68">
        <v>10</v>
      </c>
      <c r="D68" s="64">
        <v>7.5</v>
      </c>
      <c r="E68" s="64">
        <v>10</v>
      </c>
      <c r="F68" s="64">
        <v>8.9</v>
      </c>
      <c r="G68" s="64">
        <v>8.6</v>
      </c>
      <c r="H68" s="64">
        <v>8.1</v>
      </c>
      <c r="I68" s="64">
        <v>8.6999999999999993</v>
      </c>
      <c r="J68" s="64">
        <v>8</v>
      </c>
      <c r="K68" s="64">
        <v>6.6</v>
      </c>
      <c r="L68" s="64">
        <v>4.8</v>
      </c>
      <c r="M68" s="64">
        <v>4.9000000000000004</v>
      </c>
    </row>
    <row r="69" spans="1:13" x14ac:dyDescent="0.25">
      <c r="A69" s="32" t="s">
        <v>47</v>
      </c>
      <c r="B69" s="21" t="s">
        <v>356</v>
      </c>
      <c r="C69">
        <v>12000</v>
      </c>
      <c r="D69" s="64">
        <v>14000</v>
      </c>
      <c r="E69" s="64">
        <v>14000</v>
      </c>
      <c r="F69" s="64">
        <v>14000</v>
      </c>
      <c r="G69" s="64">
        <v>14000</v>
      </c>
      <c r="H69" s="64">
        <v>14000</v>
      </c>
      <c r="I69" s="64">
        <v>14000</v>
      </c>
      <c r="J69" s="64">
        <v>14000</v>
      </c>
      <c r="K69" s="64">
        <v>14000</v>
      </c>
      <c r="L69" s="64">
        <v>14000</v>
      </c>
      <c r="M69" s="64">
        <v>15000</v>
      </c>
    </row>
    <row r="70" spans="1:13" x14ac:dyDescent="0.25">
      <c r="A70" s="32" t="s">
        <v>92</v>
      </c>
      <c r="B70" s="21" t="s">
        <v>353</v>
      </c>
      <c r="C70">
        <v>14000</v>
      </c>
      <c r="D70" s="64">
        <v>28000</v>
      </c>
      <c r="E70" s="64">
        <v>31000</v>
      </c>
      <c r="F70" s="64">
        <v>33000</v>
      </c>
      <c r="G70" s="64">
        <v>35000</v>
      </c>
      <c r="H70" s="64">
        <v>38000</v>
      </c>
      <c r="I70" s="64">
        <v>41000</v>
      </c>
      <c r="J70" s="64">
        <v>44000</v>
      </c>
      <c r="K70" s="64">
        <v>47000</v>
      </c>
      <c r="L70" s="64">
        <v>52000</v>
      </c>
      <c r="M70" s="64">
        <v>57000</v>
      </c>
    </row>
    <row r="71" spans="1:13" x14ac:dyDescent="0.25">
      <c r="A71" s="32" t="s">
        <v>183</v>
      </c>
      <c r="B71" s="21" t="s">
        <v>353</v>
      </c>
      <c r="C71">
        <v>2300</v>
      </c>
      <c r="D71" s="64">
        <v>3900</v>
      </c>
      <c r="E71" s="64">
        <v>3800</v>
      </c>
      <c r="F71" s="64">
        <v>3900</v>
      </c>
      <c r="G71" s="64">
        <v>4000</v>
      </c>
      <c r="H71" s="64">
        <v>4100</v>
      </c>
      <c r="I71" s="64">
        <v>4200</v>
      </c>
      <c r="J71" s="64">
        <v>4400</v>
      </c>
      <c r="K71" s="64">
        <v>4400</v>
      </c>
      <c r="L71" s="64">
        <v>4700</v>
      </c>
      <c r="M71" s="64">
        <v>4900</v>
      </c>
    </row>
    <row r="72" spans="1:13" x14ac:dyDescent="0.25">
      <c r="A72" s="32" t="s">
        <v>46</v>
      </c>
      <c r="B72" s="21" t="s">
        <v>356</v>
      </c>
      <c r="C72">
        <v>1300</v>
      </c>
      <c r="D72" s="64">
        <v>1100</v>
      </c>
      <c r="E72" s="64">
        <v>1100</v>
      </c>
      <c r="F72" s="64">
        <v>1100</v>
      </c>
      <c r="G72" s="64">
        <v>1000</v>
      </c>
      <c r="H72" s="64">
        <v>1100</v>
      </c>
      <c r="I72" s="64">
        <v>1100</v>
      </c>
      <c r="J72" s="64">
        <v>1200</v>
      </c>
      <c r="K72" s="64">
        <v>950</v>
      </c>
      <c r="L72" s="64">
        <v>1000</v>
      </c>
      <c r="M72" s="64">
        <v>970</v>
      </c>
    </row>
    <row r="73" spans="1:13" x14ac:dyDescent="0.25">
      <c r="A73" s="32" t="s">
        <v>90</v>
      </c>
      <c r="B73" s="21" t="s">
        <v>353</v>
      </c>
      <c r="C73">
        <v>28000</v>
      </c>
      <c r="D73" s="64">
        <v>33000</v>
      </c>
      <c r="E73" s="64">
        <v>34000</v>
      </c>
      <c r="F73" s="64">
        <v>35000</v>
      </c>
      <c r="G73" s="64">
        <v>34000</v>
      </c>
      <c r="H73" s="64">
        <v>34000</v>
      </c>
      <c r="I73" s="64">
        <v>34000</v>
      </c>
      <c r="J73" s="64">
        <v>34000</v>
      </c>
      <c r="K73" s="64">
        <v>33000</v>
      </c>
      <c r="L73" s="64">
        <v>33000</v>
      </c>
      <c r="M73" s="64">
        <v>31000</v>
      </c>
    </row>
    <row r="74" spans="1:13" x14ac:dyDescent="0.25">
      <c r="A74" s="32" t="s">
        <v>45</v>
      </c>
      <c r="B74" s="21" t="s">
        <v>356</v>
      </c>
      <c r="C74">
        <v>8900</v>
      </c>
      <c r="D74" s="64">
        <v>9600</v>
      </c>
      <c r="E74" s="64">
        <v>9400</v>
      </c>
      <c r="F74" s="64">
        <v>10000</v>
      </c>
      <c r="G74" s="64">
        <v>11000</v>
      </c>
      <c r="H74" s="64">
        <v>10000</v>
      </c>
      <c r="I74" s="64">
        <v>9600</v>
      </c>
      <c r="J74" s="64">
        <v>9000</v>
      </c>
      <c r="K74" s="64">
        <v>8200</v>
      </c>
      <c r="L74" s="64">
        <v>7000</v>
      </c>
      <c r="M74" s="64">
        <v>6000</v>
      </c>
    </row>
    <row r="75" spans="1:13" x14ac:dyDescent="0.25">
      <c r="A75" s="32" t="s">
        <v>182</v>
      </c>
      <c r="B75" s="21" t="s">
        <v>366</v>
      </c>
      <c r="C75">
        <v>6100</v>
      </c>
      <c r="D75" s="64">
        <v>4300</v>
      </c>
      <c r="E75" s="64">
        <v>4300</v>
      </c>
      <c r="F75" s="64">
        <v>4000</v>
      </c>
      <c r="G75" s="64">
        <v>3700</v>
      </c>
      <c r="H75" s="64">
        <v>3400</v>
      </c>
      <c r="I75" s="64">
        <v>2500</v>
      </c>
      <c r="J75" s="64">
        <v>2500</v>
      </c>
      <c r="K75" s="64">
        <v>2200</v>
      </c>
      <c r="L75" s="64">
        <v>2000</v>
      </c>
      <c r="M75" s="64">
        <v>2000</v>
      </c>
    </row>
    <row r="76" spans="1:13" x14ac:dyDescent="0.25">
      <c r="A76" s="32" t="s">
        <v>181</v>
      </c>
      <c r="B76" s="21" t="s">
        <v>366</v>
      </c>
      <c r="C76">
        <v>33</v>
      </c>
      <c r="D76" s="64">
        <v>19</v>
      </c>
      <c r="E76" s="64">
        <v>17</v>
      </c>
      <c r="F76" s="64">
        <v>10</v>
      </c>
      <c r="G76" s="64">
        <v>8.1</v>
      </c>
      <c r="H76" s="64">
        <v>18</v>
      </c>
      <c r="I76" s="64">
        <v>12</v>
      </c>
      <c r="J76" s="64">
        <v>18</v>
      </c>
      <c r="K76" s="64">
        <v>18</v>
      </c>
      <c r="L76" s="64">
        <v>8.9</v>
      </c>
      <c r="M76" s="64">
        <v>13</v>
      </c>
    </row>
    <row r="77" spans="1:13" x14ac:dyDescent="0.25">
      <c r="A77" s="32" t="s">
        <v>44</v>
      </c>
      <c r="B77" s="21" t="s">
        <v>823</v>
      </c>
      <c r="C77" s="40">
        <v>2900000</v>
      </c>
      <c r="D77" s="64">
        <v>2600000</v>
      </c>
      <c r="E77" s="64">
        <v>2700000</v>
      </c>
      <c r="F77" s="64">
        <v>2800000</v>
      </c>
      <c r="G77" s="64">
        <v>2900000</v>
      </c>
      <c r="H77" s="64">
        <v>2900000</v>
      </c>
      <c r="I77" s="64">
        <v>2900000</v>
      </c>
      <c r="J77" s="64">
        <v>2900000</v>
      </c>
      <c r="K77" s="64">
        <v>2900000</v>
      </c>
      <c r="L77" s="64">
        <v>2900000</v>
      </c>
      <c r="M77" s="64">
        <v>3000000</v>
      </c>
    </row>
    <row r="78" spans="1:13" x14ac:dyDescent="0.25">
      <c r="A78" s="32" t="s">
        <v>43</v>
      </c>
      <c r="B78" s="21" t="s">
        <v>823</v>
      </c>
      <c r="C78">
        <v>740000</v>
      </c>
      <c r="D78" s="64">
        <v>860000</v>
      </c>
      <c r="E78" s="64">
        <v>830000</v>
      </c>
      <c r="F78" s="64">
        <v>800000</v>
      </c>
      <c r="G78" s="64">
        <v>750000</v>
      </c>
      <c r="H78" s="64">
        <v>720000</v>
      </c>
      <c r="I78" s="64">
        <v>680000</v>
      </c>
      <c r="J78" s="64">
        <v>660000</v>
      </c>
      <c r="K78" s="64">
        <v>650000</v>
      </c>
      <c r="L78" s="64">
        <v>660000</v>
      </c>
      <c r="M78" s="64">
        <v>660000</v>
      </c>
    </row>
    <row r="79" spans="1:13" x14ac:dyDescent="0.25">
      <c r="A79" s="32" t="s">
        <v>180</v>
      </c>
      <c r="B79" s="21" t="s">
        <v>361</v>
      </c>
      <c r="C79">
        <v>35000</v>
      </c>
      <c r="D79" s="64">
        <v>35000</v>
      </c>
      <c r="E79" s="64">
        <v>34000</v>
      </c>
      <c r="F79" s="64">
        <v>32000</v>
      </c>
      <c r="G79" s="64">
        <v>31000</v>
      </c>
      <c r="H79" s="64">
        <v>30000</v>
      </c>
      <c r="I79" s="64">
        <v>29000</v>
      </c>
      <c r="J79" s="64">
        <v>27000</v>
      </c>
      <c r="K79" s="64">
        <v>25000</v>
      </c>
      <c r="L79" s="64">
        <v>22000</v>
      </c>
      <c r="M79" s="64">
        <v>20000</v>
      </c>
    </row>
    <row r="80" spans="1:13" x14ac:dyDescent="0.25">
      <c r="A80" s="32" t="s">
        <v>42</v>
      </c>
      <c r="B80" s="21" t="s">
        <v>356</v>
      </c>
      <c r="C80">
        <v>18000</v>
      </c>
      <c r="D80" s="64">
        <v>25000</v>
      </c>
      <c r="E80" s="64">
        <v>26000</v>
      </c>
      <c r="F80" s="64">
        <v>26000</v>
      </c>
      <c r="G80" s="64">
        <v>27000</v>
      </c>
      <c r="H80" s="64">
        <v>29000</v>
      </c>
      <c r="I80" s="64">
        <v>32000</v>
      </c>
      <c r="J80" s="64">
        <v>34000</v>
      </c>
      <c r="K80" s="64">
        <v>35000</v>
      </c>
      <c r="L80" s="64">
        <v>36000</v>
      </c>
      <c r="M80" s="64">
        <v>36000</v>
      </c>
    </row>
    <row r="81" spans="1:13" x14ac:dyDescent="0.25">
      <c r="A81" s="32" t="s">
        <v>179</v>
      </c>
      <c r="B81" s="21" t="s">
        <v>366</v>
      </c>
      <c r="C81">
        <v>1100</v>
      </c>
      <c r="D81" s="64">
        <v>530</v>
      </c>
      <c r="E81" s="64">
        <v>580</v>
      </c>
      <c r="F81" s="64">
        <v>540</v>
      </c>
      <c r="G81" s="64">
        <v>490</v>
      </c>
      <c r="H81" s="64">
        <v>560</v>
      </c>
      <c r="I81" s="64">
        <v>550</v>
      </c>
      <c r="J81" s="64">
        <v>610</v>
      </c>
      <c r="K81" s="64">
        <v>660</v>
      </c>
      <c r="L81" s="64">
        <v>440</v>
      </c>
      <c r="M81" s="64">
        <v>470</v>
      </c>
    </row>
    <row r="82" spans="1:13" x14ac:dyDescent="0.25">
      <c r="A82" s="32" t="s">
        <v>178</v>
      </c>
      <c r="B82" s="21" t="s">
        <v>366</v>
      </c>
      <c r="C82">
        <v>390</v>
      </c>
      <c r="D82" s="64">
        <v>840</v>
      </c>
      <c r="E82" s="64">
        <v>810</v>
      </c>
      <c r="F82" s="64">
        <v>660</v>
      </c>
      <c r="G82" s="64">
        <v>740</v>
      </c>
      <c r="H82" s="64">
        <v>750</v>
      </c>
      <c r="I82" s="64">
        <v>540</v>
      </c>
      <c r="J82" s="64">
        <v>540</v>
      </c>
      <c r="K82" s="64">
        <v>580</v>
      </c>
      <c r="L82" s="64">
        <v>520</v>
      </c>
      <c r="M82" s="64">
        <v>450</v>
      </c>
    </row>
    <row r="83" spans="1:13" x14ac:dyDescent="0.25">
      <c r="A83" s="32" t="s">
        <v>177</v>
      </c>
      <c r="B83" s="21" t="s">
        <v>366</v>
      </c>
      <c r="C83">
        <v>7400</v>
      </c>
      <c r="D83" s="64">
        <v>4400</v>
      </c>
      <c r="E83" s="64">
        <v>6600</v>
      </c>
      <c r="F83" s="64">
        <v>5300</v>
      </c>
      <c r="G83" s="64">
        <v>6300</v>
      </c>
      <c r="H83" s="64">
        <v>5600</v>
      </c>
      <c r="I83" s="64">
        <v>5300</v>
      </c>
      <c r="J83" s="64">
        <v>6700</v>
      </c>
      <c r="K83" s="64">
        <v>3700</v>
      </c>
      <c r="L83" s="64">
        <v>5200</v>
      </c>
      <c r="M83" s="64">
        <v>4600</v>
      </c>
    </row>
    <row r="84" spans="1:13" x14ac:dyDescent="0.25">
      <c r="A84" s="32" t="s">
        <v>176</v>
      </c>
      <c r="B84" s="21" t="s">
        <v>361</v>
      </c>
      <c r="C84">
        <v>170</v>
      </c>
      <c r="D84" s="64">
        <v>190</v>
      </c>
      <c r="E84" s="64">
        <v>200</v>
      </c>
      <c r="F84" s="64">
        <v>200</v>
      </c>
      <c r="G84" s="64">
        <v>190</v>
      </c>
      <c r="H84" s="64">
        <v>220</v>
      </c>
      <c r="I84" s="64">
        <v>210</v>
      </c>
      <c r="J84" s="64">
        <v>230</v>
      </c>
      <c r="K84" s="64">
        <v>230</v>
      </c>
      <c r="L84" s="64">
        <v>240</v>
      </c>
      <c r="M84" s="64">
        <v>210</v>
      </c>
    </row>
    <row r="85" spans="1:13" x14ac:dyDescent="0.25">
      <c r="A85" s="32" t="s">
        <v>175</v>
      </c>
      <c r="B85" s="21" t="s">
        <v>366</v>
      </c>
      <c r="C85">
        <v>90000</v>
      </c>
      <c r="D85" s="64">
        <v>59000</v>
      </c>
      <c r="E85" s="64">
        <v>52000</v>
      </c>
      <c r="F85" s="64">
        <v>48000</v>
      </c>
      <c r="G85" s="64">
        <v>47000</v>
      </c>
      <c r="H85" s="64">
        <v>44000</v>
      </c>
      <c r="I85" s="64">
        <v>40000</v>
      </c>
      <c r="J85" s="64">
        <v>37000</v>
      </c>
      <c r="K85" s="64">
        <v>37000</v>
      </c>
      <c r="L85" s="64">
        <v>36000</v>
      </c>
      <c r="M85" s="64">
        <v>33000</v>
      </c>
    </row>
    <row r="86" spans="1:13" x14ac:dyDescent="0.25">
      <c r="A86" s="32" t="s">
        <v>41</v>
      </c>
      <c r="B86" s="21" t="s">
        <v>361</v>
      </c>
      <c r="C86">
        <v>740</v>
      </c>
      <c r="D86" s="64">
        <v>410</v>
      </c>
      <c r="E86" s="64">
        <v>540</v>
      </c>
      <c r="F86" s="64">
        <v>440</v>
      </c>
      <c r="G86" s="64">
        <v>440</v>
      </c>
      <c r="H86" s="64">
        <v>450</v>
      </c>
      <c r="I86" s="64">
        <v>540</v>
      </c>
      <c r="J86" s="64">
        <v>500</v>
      </c>
      <c r="K86" s="64">
        <v>450</v>
      </c>
      <c r="L86" s="64">
        <v>440</v>
      </c>
      <c r="M86" s="64">
        <v>390</v>
      </c>
    </row>
    <row r="87" spans="1:13" x14ac:dyDescent="0.25">
      <c r="A87" s="32" t="s">
        <v>174</v>
      </c>
      <c r="B87" s="21" t="s">
        <v>361</v>
      </c>
      <c r="C87">
        <v>42000</v>
      </c>
      <c r="D87" s="64">
        <v>37000</v>
      </c>
      <c r="E87" s="64">
        <v>41000</v>
      </c>
      <c r="F87" s="64">
        <v>44000</v>
      </c>
      <c r="G87" s="64">
        <v>46000</v>
      </c>
      <c r="H87" s="64">
        <v>47000</v>
      </c>
      <c r="I87" s="64">
        <v>46000</v>
      </c>
      <c r="J87" s="64">
        <v>43000</v>
      </c>
      <c r="K87" s="64">
        <v>40000</v>
      </c>
      <c r="L87" s="64">
        <v>36000</v>
      </c>
      <c r="M87" s="64">
        <v>33000</v>
      </c>
    </row>
    <row r="88" spans="1:13" x14ac:dyDescent="0.25">
      <c r="A88" s="32" t="s">
        <v>89</v>
      </c>
      <c r="B88" s="21" t="s">
        <v>353</v>
      </c>
      <c r="C88">
        <v>36000</v>
      </c>
      <c r="D88" s="64">
        <v>120000</v>
      </c>
      <c r="E88" s="64">
        <v>130000</v>
      </c>
      <c r="F88" s="64">
        <v>130000</v>
      </c>
      <c r="G88" s="64">
        <v>140000</v>
      </c>
      <c r="H88" s="64">
        <v>150000</v>
      </c>
      <c r="I88" s="64">
        <v>140000</v>
      </c>
      <c r="J88" s="64">
        <v>120000</v>
      </c>
      <c r="K88" s="64">
        <v>120000</v>
      </c>
      <c r="L88" s="64">
        <v>120000</v>
      </c>
      <c r="M88" s="64">
        <v>110000</v>
      </c>
    </row>
    <row r="89" spans="1:13" x14ac:dyDescent="0.25">
      <c r="A89" s="32" t="s">
        <v>173</v>
      </c>
      <c r="B89" s="21" t="s">
        <v>366</v>
      </c>
      <c r="C89">
        <v>810</v>
      </c>
      <c r="D89" s="64">
        <v>760</v>
      </c>
      <c r="E89" s="64">
        <v>680</v>
      </c>
      <c r="F89" s="64">
        <v>910</v>
      </c>
      <c r="G89" s="64">
        <v>830</v>
      </c>
      <c r="H89" s="64">
        <v>830</v>
      </c>
      <c r="I89" s="64">
        <v>680</v>
      </c>
      <c r="J89" s="64">
        <v>1000</v>
      </c>
      <c r="K89" s="64">
        <v>850</v>
      </c>
      <c r="L89" s="64">
        <v>1300</v>
      </c>
      <c r="M89" s="64">
        <v>1300</v>
      </c>
    </row>
    <row r="90" spans="1:13" x14ac:dyDescent="0.25">
      <c r="A90" s="32" t="s">
        <v>172</v>
      </c>
      <c r="B90" s="21" t="s">
        <v>353</v>
      </c>
      <c r="C90">
        <v>12000</v>
      </c>
      <c r="D90" s="64">
        <v>9600</v>
      </c>
      <c r="E90" s="64">
        <v>10000</v>
      </c>
      <c r="F90" s="64">
        <v>11000</v>
      </c>
      <c r="G90" s="64">
        <v>11000</v>
      </c>
      <c r="H90" s="64">
        <v>12000</v>
      </c>
      <c r="I90" s="64">
        <v>12000</v>
      </c>
      <c r="J90" s="64">
        <v>12000</v>
      </c>
      <c r="K90" s="64">
        <v>12000</v>
      </c>
      <c r="L90" s="64">
        <v>13000</v>
      </c>
      <c r="M90" s="64">
        <v>13000</v>
      </c>
    </row>
    <row r="91" spans="1:13" x14ac:dyDescent="0.25">
      <c r="A91" s="32" t="s">
        <v>171</v>
      </c>
      <c r="B91" s="21" t="s">
        <v>356</v>
      </c>
      <c r="C91">
        <v>6600</v>
      </c>
      <c r="D91" s="64">
        <v>8200</v>
      </c>
      <c r="E91" s="64">
        <v>8300</v>
      </c>
      <c r="F91" s="64">
        <v>8300</v>
      </c>
      <c r="G91" s="64">
        <v>8200</v>
      </c>
      <c r="H91" s="64">
        <v>7900</v>
      </c>
      <c r="I91" s="64">
        <v>7600</v>
      </c>
      <c r="J91" s="64">
        <v>7500</v>
      </c>
      <c r="K91" s="64">
        <v>7600</v>
      </c>
      <c r="L91" s="64">
        <v>8000</v>
      </c>
      <c r="M91" s="64">
        <v>8300</v>
      </c>
    </row>
    <row r="92" spans="1:13" x14ac:dyDescent="0.25">
      <c r="A92" s="32" t="s">
        <v>170</v>
      </c>
      <c r="B92" s="21" t="s">
        <v>361</v>
      </c>
      <c r="C92">
        <v>4900</v>
      </c>
      <c r="D92" s="64">
        <v>2800</v>
      </c>
      <c r="E92" s="64">
        <v>2800</v>
      </c>
      <c r="F92" s="64">
        <v>2400</v>
      </c>
      <c r="G92" s="64">
        <v>2300</v>
      </c>
      <c r="H92" s="64">
        <v>2100</v>
      </c>
      <c r="I92" s="64">
        <v>1800</v>
      </c>
      <c r="J92" s="64">
        <v>1600</v>
      </c>
      <c r="K92" s="64">
        <v>1600</v>
      </c>
      <c r="L92" s="64">
        <v>1200</v>
      </c>
      <c r="M92" s="64">
        <v>1100</v>
      </c>
    </row>
    <row r="93" spans="1:13" x14ac:dyDescent="0.25">
      <c r="A93" s="32" t="s">
        <v>169</v>
      </c>
      <c r="B93" s="21" t="s">
        <v>361</v>
      </c>
      <c r="C93">
        <v>1200</v>
      </c>
      <c r="D93" s="64">
        <v>710</v>
      </c>
      <c r="E93" s="64">
        <v>670</v>
      </c>
      <c r="F93" s="64">
        <v>540</v>
      </c>
      <c r="G93" s="64">
        <v>450</v>
      </c>
      <c r="H93" s="64">
        <v>500</v>
      </c>
      <c r="I93" s="64">
        <v>500</v>
      </c>
      <c r="J93" s="64">
        <v>430</v>
      </c>
      <c r="K93" s="64">
        <v>630</v>
      </c>
      <c r="L93" s="64">
        <v>690</v>
      </c>
      <c r="M93" s="64">
        <v>830</v>
      </c>
    </row>
    <row r="94" spans="1:13" x14ac:dyDescent="0.25">
      <c r="A94" s="32" t="s">
        <v>38</v>
      </c>
      <c r="B94" s="21" t="s">
        <v>356</v>
      </c>
      <c r="C94">
        <v>3300</v>
      </c>
      <c r="D94" s="64">
        <v>6900</v>
      </c>
      <c r="E94" s="64">
        <v>7300</v>
      </c>
      <c r="F94" s="64">
        <v>7800</v>
      </c>
      <c r="G94" s="64">
        <v>8100</v>
      </c>
      <c r="H94" s="64">
        <v>8300</v>
      </c>
      <c r="I94" s="64">
        <v>8300</v>
      </c>
      <c r="J94" s="64">
        <v>8200</v>
      </c>
      <c r="K94" s="64">
        <v>8200</v>
      </c>
      <c r="L94" s="64">
        <v>8300</v>
      </c>
      <c r="M94" s="64">
        <v>8400</v>
      </c>
    </row>
    <row r="95" spans="1:13" x14ac:dyDescent="0.25">
      <c r="A95" s="32" t="s">
        <v>85</v>
      </c>
      <c r="B95" s="21" t="s">
        <v>353</v>
      </c>
      <c r="C95">
        <v>4800</v>
      </c>
      <c r="D95" s="64">
        <v>14000</v>
      </c>
      <c r="E95" s="64">
        <v>15000</v>
      </c>
      <c r="F95" s="64">
        <v>15000</v>
      </c>
      <c r="G95" s="64">
        <v>15000</v>
      </c>
      <c r="H95" s="64">
        <v>16000</v>
      </c>
      <c r="I95" s="64">
        <v>16000</v>
      </c>
      <c r="J95" s="64">
        <v>17000</v>
      </c>
      <c r="K95" s="64">
        <v>18000</v>
      </c>
      <c r="L95" s="64">
        <v>19000</v>
      </c>
      <c r="M95" s="64">
        <v>20000</v>
      </c>
    </row>
    <row r="96" spans="1:13" x14ac:dyDescent="0.25">
      <c r="A96" s="32" t="s">
        <v>168</v>
      </c>
      <c r="B96" s="21" t="s">
        <v>361</v>
      </c>
      <c r="C96">
        <v>3900</v>
      </c>
      <c r="D96" s="64">
        <v>3300</v>
      </c>
      <c r="E96" s="64">
        <v>3300</v>
      </c>
      <c r="F96" s="64">
        <v>3100</v>
      </c>
      <c r="G96" s="64">
        <v>3200</v>
      </c>
      <c r="H96" s="64">
        <v>3200</v>
      </c>
      <c r="I96" s="64">
        <v>3200</v>
      </c>
      <c r="J96" s="64">
        <v>3100</v>
      </c>
      <c r="K96" s="64">
        <v>3300</v>
      </c>
      <c r="L96" s="64">
        <v>3400</v>
      </c>
      <c r="M96" s="64">
        <v>3500</v>
      </c>
    </row>
    <row r="97" spans="1:13" x14ac:dyDescent="0.25">
      <c r="A97" s="32" t="s">
        <v>167</v>
      </c>
      <c r="B97" s="21" t="s">
        <v>361</v>
      </c>
      <c r="C97">
        <v>6300</v>
      </c>
      <c r="D97" s="64">
        <v>3600</v>
      </c>
      <c r="E97" s="64">
        <v>3600</v>
      </c>
      <c r="F97" s="64">
        <v>3100</v>
      </c>
      <c r="G97" s="64">
        <v>3800</v>
      </c>
      <c r="H97" s="64">
        <v>2600</v>
      </c>
      <c r="I97" s="64">
        <v>2700</v>
      </c>
      <c r="J97" s="64">
        <v>3300</v>
      </c>
      <c r="K97" s="64">
        <v>3000</v>
      </c>
      <c r="L97" s="64">
        <v>2800</v>
      </c>
      <c r="M97" s="64">
        <v>2600</v>
      </c>
    </row>
    <row r="98" spans="1:13" x14ac:dyDescent="0.25">
      <c r="A98" s="32" t="s">
        <v>166</v>
      </c>
      <c r="B98" s="21" t="s">
        <v>366</v>
      </c>
      <c r="C98">
        <v>83</v>
      </c>
      <c r="D98" s="64">
        <v>73</v>
      </c>
      <c r="E98" s="64">
        <v>39</v>
      </c>
      <c r="F98" s="64">
        <v>42</v>
      </c>
      <c r="G98" s="64">
        <v>98</v>
      </c>
      <c r="H98" s="64">
        <v>44</v>
      </c>
      <c r="I98" s="64">
        <v>57</v>
      </c>
      <c r="J98" s="64">
        <v>43</v>
      </c>
      <c r="K98" s="64">
        <v>58</v>
      </c>
      <c r="L98" s="64">
        <v>56</v>
      </c>
      <c r="M98" s="64">
        <v>54</v>
      </c>
    </row>
    <row r="99" spans="1:13" x14ac:dyDescent="0.25">
      <c r="A99" s="32" t="s">
        <v>84</v>
      </c>
      <c r="B99" s="21" t="s">
        <v>353</v>
      </c>
      <c r="C99">
        <v>41000</v>
      </c>
      <c r="D99" s="64">
        <v>58000</v>
      </c>
      <c r="E99" s="64">
        <v>62000</v>
      </c>
      <c r="F99" s="64">
        <v>65000</v>
      </c>
      <c r="G99" s="64">
        <v>68000</v>
      </c>
      <c r="H99" s="64">
        <v>72000</v>
      </c>
      <c r="I99" s="64">
        <v>76000</v>
      </c>
      <c r="J99" s="64">
        <v>80000</v>
      </c>
      <c r="K99" s="64">
        <v>83000</v>
      </c>
      <c r="L99" s="64">
        <v>89000</v>
      </c>
      <c r="M99" s="64">
        <v>94000</v>
      </c>
    </row>
    <row r="100" spans="1:13" x14ac:dyDescent="0.25">
      <c r="A100" s="32" t="s">
        <v>83</v>
      </c>
      <c r="B100" s="21" t="s">
        <v>353</v>
      </c>
      <c r="C100">
        <v>25000</v>
      </c>
      <c r="D100" s="64">
        <v>35000</v>
      </c>
      <c r="E100" s="64">
        <v>36000</v>
      </c>
      <c r="F100" s="64">
        <v>38000</v>
      </c>
      <c r="G100" s="64">
        <v>39000</v>
      </c>
      <c r="H100" s="64">
        <v>40000</v>
      </c>
      <c r="I100" s="64">
        <v>40000</v>
      </c>
      <c r="J100" s="64">
        <v>37000</v>
      </c>
      <c r="K100" s="64">
        <v>37000</v>
      </c>
      <c r="L100" s="64">
        <v>40000</v>
      </c>
      <c r="M100" s="64">
        <v>37000</v>
      </c>
    </row>
    <row r="101" spans="1:13" x14ac:dyDescent="0.25">
      <c r="A101" s="32" t="s">
        <v>165</v>
      </c>
      <c r="B101" s="21" t="s">
        <v>361</v>
      </c>
      <c r="C101">
        <v>41000</v>
      </c>
      <c r="D101" s="64">
        <v>31000</v>
      </c>
      <c r="E101" s="64">
        <v>32000</v>
      </c>
      <c r="F101" s="64">
        <v>31000</v>
      </c>
      <c r="G101" s="64">
        <v>32000</v>
      </c>
      <c r="H101" s="64">
        <v>31000</v>
      </c>
      <c r="I101" s="64">
        <v>30000</v>
      </c>
      <c r="J101" s="64">
        <v>30000</v>
      </c>
      <c r="K101" s="64">
        <v>29000</v>
      </c>
      <c r="L101" s="64">
        <v>30000</v>
      </c>
      <c r="M101" s="64">
        <v>30000</v>
      </c>
    </row>
    <row r="102" spans="1:13" x14ac:dyDescent="0.25">
      <c r="A102" s="32" t="s">
        <v>37</v>
      </c>
      <c r="B102" s="21" t="s">
        <v>361</v>
      </c>
      <c r="C102">
        <v>620</v>
      </c>
      <c r="D102" s="64">
        <v>300</v>
      </c>
      <c r="E102" s="64">
        <v>290</v>
      </c>
      <c r="F102" s="64">
        <v>260</v>
      </c>
      <c r="G102" s="64">
        <v>250</v>
      </c>
      <c r="H102" s="64">
        <v>220</v>
      </c>
      <c r="I102" s="64">
        <v>220</v>
      </c>
      <c r="J102" s="64">
        <v>190</v>
      </c>
      <c r="K102" s="64">
        <v>180</v>
      </c>
      <c r="L102" s="64">
        <v>160</v>
      </c>
      <c r="M102" s="64">
        <v>150</v>
      </c>
    </row>
    <row r="103" spans="1:13" x14ac:dyDescent="0.25">
      <c r="A103" s="32" t="s">
        <v>82</v>
      </c>
      <c r="B103" s="21" t="s">
        <v>353</v>
      </c>
      <c r="C103">
        <v>53000</v>
      </c>
      <c r="D103" s="64">
        <v>58000</v>
      </c>
      <c r="E103" s="64">
        <v>61000</v>
      </c>
      <c r="F103" s="64">
        <v>63000</v>
      </c>
      <c r="G103" s="64">
        <v>66000</v>
      </c>
      <c r="H103" s="64">
        <v>69000</v>
      </c>
      <c r="I103" s="64">
        <v>71000</v>
      </c>
      <c r="J103" s="64">
        <v>74000</v>
      </c>
      <c r="K103" s="64">
        <v>77000</v>
      </c>
      <c r="L103" s="64">
        <v>79000</v>
      </c>
      <c r="M103" s="64">
        <v>82000</v>
      </c>
    </row>
    <row r="104" spans="1:13" x14ac:dyDescent="0.25">
      <c r="A104" s="32" t="s">
        <v>164</v>
      </c>
      <c r="B104" s="21" t="s">
        <v>366</v>
      </c>
      <c r="C104">
        <v>21</v>
      </c>
      <c r="D104" s="64">
        <v>20</v>
      </c>
      <c r="E104" s="64">
        <v>20</v>
      </c>
      <c r="F104" s="64">
        <v>44</v>
      </c>
      <c r="G104" s="64">
        <v>17</v>
      </c>
      <c r="H104" s="64">
        <v>30</v>
      </c>
      <c r="I104" s="64">
        <v>27</v>
      </c>
      <c r="J104" s="64">
        <v>42</v>
      </c>
      <c r="K104" s="64">
        <v>52</v>
      </c>
      <c r="L104" s="64">
        <v>75</v>
      </c>
      <c r="M104" s="64">
        <v>49</v>
      </c>
    </row>
    <row r="105" spans="1:13" x14ac:dyDescent="0.25">
      <c r="A105" s="32" t="s">
        <v>81</v>
      </c>
      <c r="B105" s="21" t="s">
        <v>356</v>
      </c>
      <c r="C105">
        <v>5500</v>
      </c>
      <c r="D105" s="64">
        <v>13000</v>
      </c>
      <c r="E105" s="64">
        <v>14000</v>
      </c>
      <c r="F105" s="64">
        <v>14000</v>
      </c>
      <c r="G105" s="64">
        <v>15000</v>
      </c>
      <c r="H105" s="64">
        <v>17000</v>
      </c>
      <c r="I105" s="64">
        <v>18000</v>
      </c>
      <c r="J105" s="64">
        <v>19000</v>
      </c>
      <c r="K105" s="64">
        <v>20000</v>
      </c>
      <c r="L105" s="64">
        <v>21000</v>
      </c>
      <c r="M105" s="64">
        <v>22000</v>
      </c>
    </row>
    <row r="106" spans="1:13" x14ac:dyDescent="0.25">
      <c r="A106" s="32" t="s">
        <v>163</v>
      </c>
      <c r="B106" s="21" t="s">
        <v>361</v>
      </c>
      <c r="C106">
        <v>550</v>
      </c>
      <c r="D106" s="64">
        <v>520</v>
      </c>
      <c r="E106" s="64">
        <v>520</v>
      </c>
      <c r="F106" s="64">
        <v>530</v>
      </c>
      <c r="G106" s="64">
        <v>520</v>
      </c>
      <c r="H106" s="64">
        <v>530</v>
      </c>
      <c r="I106" s="64">
        <v>530</v>
      </c>
      <c r="J106" s="64">
        <v>530</v>
      </c>
      <c r="K106" s="64">
        <v>520</v>
      </c>
      <c r="L106" s="64">
        <v>510</v>
      </c>
      <c r="M106" s="64">
        <v>520</v>
      </c>
    </row>
    <row r="107" spans="1:13" x14ac:dyDescent="0.25">
      <c r="A107" s="32" t="s">
        <v>162</v>
      </c>
      <c r="B107" s="21" t="s">
        <v>361</v>
      </c>
      <c r="C107">
        <v>100000</v>
      </c>
      <c r="D107" s="64">
        <v>50000</v>
      </c>
      <c r="E107" s="64">
        <v>47000</v>
      </c>
      <c r="F107" s="64">
        <v>44000</v>
      </c>
      <c r="G107" s="64">
        <v>42000</v>
      </c>
      <c r="H107" s="64">
        <v>38000</v>
      </c>
      <c r="I107" s="64">
        <v>35000</v>
      </c>
      <c r="J107" s="64">
        <v>30000</v>
      </c>
      <c r="K107" s="64">
        <v>27000</v>
      </c>
      <c r="L107" s="64">
        <v>24000</v>
      </c>
      <c r="M107" s="64">
        <v>21000</v>
      </c>
    </row>
    <row r="108" spans="1:13" x14ac:dyDescent="0.25">
      <c r="A108" s="32" t="s">
        <v>447</v>
      </c>
      <c r="B108" s="21" t="s">
        <v>356</v>
      </c>
      <c r="C108">
        <v>390</v>
      </c>
      <c r="D108" s="64">
        <v>210</v>
      </c>
      <c r="E108" s="64">
        <v>180</v>
      </c>
      <c r="F108" s="64">
        <v>160</v>
      </c>
      <c r="G108" s="64">
        <v>150</v>
      </c>
      <c r="H108" s="64">
        <v>150</v>
      </c>
      <c r="I108" s="64">
        <v>140</v>
      </c>
      <c r="J108" s="64">
        <v>120</v>
      </c>
      <c r="K108" s="64">
        <v>150</v>
      </c>
      <c r="L108" s="64">
        <v>170</v>
      </c>
      <c r="M108" s="64">
        <v>170</v>
      </c>
    </row>
    <row r="109" spans="1:13" x14ac:dyDescent="0.25">
      <c r="A109" s="32" t="s">
        <v>33</v>
      </c>
      <c r="B109" s="21" t="s">
        <v>356</v>
      </c>
      <c r="C109">
        <v>20000</v>
      </c>
      <c r="D109" s="64">
        <v>11000</v>
      </c>
      <c r="E109" s="64">
        <v>10000</v>
      </c>
      <c r="F109" s="64">
        <v>9300</v>
      </c>
      <c r="G109" s="64">
        <v>8700</v>
      </c>
      <c r="H109" s="64">
        <v>8300</v>
      </c>
      <c r="I109" s="64">
        <v>7700</v>
      </c>
      <c r="J109" s="64">
        <v>7700</v>
      </c>
      <c r="K109" s="64">
        <v>7800</v>
      </c>
      <c r="L109" s="64">
        <v>8300</v>
      </c>
      <c r="M109" s="64">
        <v>8600</v>
      </c>
    </row>
    <row r="110" spans="1:13" x14ac:dyDescent="0.25">
      <c r="A110" s="32" t="s">
        <v>159</v>
      </c>
      <c r="B110" s="21" t="s">
        <v>361</v>
      </c>
      <c r="D110" s="64"/>
      <c r="E110" s="64"/>
      <c r="F110" s="64"/>
      <c r="G110" s="64"/>
      <c r="H110" s="64"/>
      <c r="I110" s="64">
        <v>190</v>
      </c>
      <c r="J110" s="64">
        <v>230</v>
      </c>
      <c r="K110" s="64">
        <v>190</v>
      </c>
      <c r="L110" s="64">
        <v>170</v>
      </c>
      <c r="M110" s="64">
        <v>160</v>
      </c>
    </row>
    <row r="111" spans="1:13" x14ac:dyDescent="0.25">
      <c r="A111" s="32" t="s">
        <v>32</v>
      </c>
      <c r="B111" s="21" t="s">
        <v>356</v>
      </c>
      <c r="C111">
        <v>53000</v>
      </c>
      <c r="D111" s="64">
        <v>38000</v>
      </c>
      <c r="E111" s="64">
        <v>40000</v>
      </c>
      <c r="F111" s="64">
        <v>39000</v>
      </c>
      <c r="G111" s="64">
        <v>38000</v>
      </c>
      <c r="H111" s="64">
        <v>36000</v>
      </c>
      <c r="I111" s="64">
        <v>36000</v>
      </c>
      <c r="J111" s="64">
        <v>36000</v>
      </c>
      <c r="K111" s="64">
        <v>36000</v>
      </c>
      <c r="L111" s="64">
        <v>36000</v>
      </c>
      <c r="M111" s="64">
        <v>35000</v>
      </c>
    </row>
    <row r="112" spans="1:13" x14ac:dyDescent="0.25">
      <c r="A112" s="32" t="s">
        <v>80</v>
      </c>
      <c r="B112" s="21" t="s">
        <v>353</v>
      </c>
      <c r="C112">
        <v>35000</v>
      </c>
      <c r="D112" s="64">
        <v>77000</v>
      </c>
      <c r="E112" s="64">
        <v>83000</v>
      </c>
      <c r="F112" s="64">
        <v>88000</v>
      </c>
      <c r="G112" s="64">
        <v>92000</v>
      </c>
      <c r="H112" s="64">
        <v>93000</v>
      </c>
      <c r="I112" s="64">
        <v>92000</v>
      </c>
      <c r="J112" s="64">
        <v>90000</v>
      </c>
      <c r="K112" s="64">
        <v>110000</v>
      </c>
      <c r="L112" s="64">
        <v>84000</v>
      </c>
      <c r="M112" s="64">
        <v>74000</v>
      </c>
    </row>
    <row r="113" spans="1:13" x14ac:dyDescent="0.25">
      <c r="A113" s="32" t="s">
        <v>79</v>
      </c>
      <c r="B113" s="21" t="s">
        <v>353</v>
      </c>
      <c r="C113">
        <v>380000</v>
      </c>
      <c r="D113" s="64">
        <v>380000</v>
      </c>
      <c r="E113" s="64">
        <v>370000</v>
      </c>
      <c r="F113" s="64">
        <v>350000</v>
      </c>
      <c r="G113" s="64">
        <v>330000</v>
      </c>
      <c r="H113" s="64">
        <v>320000</v>
      </c>
      <c r="I113" s="64">
        <v>300000</v>
      </c>
      <c r="J113" s="64">
        <v>290000</v>
      </c>
      <c r="K113" s="64">
        <v>290000</v>
      </c>
      <c r="L113" s="64">
        <v>290000</v>
      </c>
      <c r="M113" s="64">
        <v>300000</v>
      </c>
    </row>
    <row r="114" spans="1:13" x14ac:dyDescent="0.25">
      <c r="A114" s="32" t="s">
        <v>158</v>
      </c>
      <c r="B114" s="21" t="s">
        <v>361</v>
      </c>
      <c r="C114">
        <v>6900</v>
      </c>
      <c r="D114" s="64">
        <v>9600</v>
      </c>
      <c r="E114" s="64">
        <v>10000</v>
      </c>
      <c r="F114" s="64">
        <v>11000</v>
      </c>
      <c r="G114" s="64">
        <v>12000</v>
      </c>
      <c r="H114" s="64">
        <v>12000</v>
      </c>
      <c r="I114" s="64">
        <v>12000</v>
      </c>
      <c r="J114" s="64">
        <v>12000</v>
      </c>
      <c r="K114" s="64">
        <v>12000</v>
      </c>
      <c r="L114" s="64">
        <v>13000</v>
      </c>
      <c r="M114" s="64">
        <v>13000</v>
      </c>
    </row>
    <row r="115" spans="1:13" x14ac:dyDescent="0.25">
      <c r="A115" s="32" t="s">
        <v>78</v>
      </c>
      <c r="B115" s="21" t="s">
        <v>353</v>
      </c>
      <c r="C115">
        <v>64000</v>
      </c>
      <c r="D115" s="64">
        <v>58000</v>
      </c>
      <c r="E115" s="64">
        <v>59000</v>
      </c>
      <c r="F115" s="64">
        <v>61000</v>
      </c>
      <c r="G115" s="64">
        <v>62000</v>
      </c>
      <c r="H115" s="64">
        <v>62000</v>
      </c>
      <c r="I115" s="64">
        <v>64000</v>
      </c>
      <c r="J115" s="64">
        <v>66000</v>
      </c>
      <c r="K115" s="64">
        <v>68000</v>
      </c>
      <c r="L115" s="64">
        <v>69000</v>
      </c>
      <c r="M115" s="64">
        <v>71000</v>
      </c>
    </row>
    <row r="116" spans="1:13" x14ac:dyDescent="0.25">
      <c r="A116" s="32" t="s">
        <v>156</v>
      </c>
      <c r="B116" s="21" t="s">
        <v>366</v>
      </c>
      <c r="C116">
        <v>2400</v>
      </c>
      <c r="D116" s="64">
        <v>1700</v>
      </c>
      <c r="E116" s="64">
        <v>2100</v>
      </c>
      <c r="F116" s="64">
        <v>2000</v>
      </c>
      <c r="G116" s="64">
        <v>1800</v>
      </c>
      <c r="H116" s="64">
        <v>2000</v>
      </c>
      <c r="I116" s="64">
        <v>1600</v>
      </c>
      <c r="J116" s="64">
        <v>1400</v>
      </c>
      <c r="K116" s="64">
        <v>1300</v>
      </c>
      <c r="L116" s="64">
        <v>1300</v>
      </c>
      <c r="M116" s="64">
        <v>1600</v>
      </c>
    </row>
    <row r="117" spans="1:13" x14ac:dyDescent="0.25">
      <c r="A117" s="32" t="s">
        <v>155</v>
      </c>
      <c r="B117" s="21" t="s">
        <v>366</v>
      </c>
      <c r="C117">
        <v>250</v>
      </c>
      <c r="D117" s="64">
        <v>440</v>
      </c>
      <c r="E117" s="64">
        <v>590</v>
      </c>
      <c r="F117" s="64">
        <v>430</v>
      </c>
      <c r="G117" s="64">
        <v>600</v>
      </c>
      <c r="H117" s="64">
        <v>550</v>
      </c>
      <c r="I117" s="64">
        <v>460</v>
      </c>
      <c r="J117" s="64">
        <v>540</v>
      </c>
      <c r="K117" s="64">
        <v>360</v>
      </c>
      <c r="L117" s="64">
        <v>430</v>
      </c>
      <c r="M117" s="64">
        <v>420</v>
      </c>
    </row>
    <row r="118" spans="1:13" x14ac:dyDescent="0.25">
      <c r="A118" s="32" t="s">
        <v>31</v>
      </c>
      <c r="B118" s="21" t="s">
        <v>356</v>
      </c>
      <c r="C118">
        <v>7200</v>
      </c>
      <c r="D118" s="64">
        <v>5100</v>
      </c>
      <c r="E118" s="64">
        <v>5000</v>
      </c>
      <c r="F118" s="64">
        <v>4800</v>
      </c>
      <c r="G118" s="64">
        <v>4700</v>
      </c>
      <c r="H118" s="64">
        <v>4500</v>
      </c>
      <c r="I118" s="64">
        <v>4300</v>
      </c>
      <c r="J118" s="64">
        <v>4100</v>
      </c>
      <c r="K118" s="64">
        <v>3600</v>
      </c>
      <c r="L118" s="64">
        <v>3300</v>
      </c>
      <c r="M118" s="64">
        <v>3100</v>
      </c>
    </row>
    <row r="119" spans="1:13" x14ac:dyDescent="0.25">
      <c r="A119" s="32" t="s">
        <v>77</v>
      </c>
      <c r="B119" s="21" t="s">
        <v>353</v>
      </c>
      <c r="C119">
        <v>23000</v>
      </c>
      <c r="D119" s="64">
        <v>31000</v>
      </c>
      <c r="E119" s="64">
        <v>33000</v>
      </c>
      <c r="F119" s="64">
        <v>34000</v>
      </c>
      <c r="G119" s="64">
        <v>36000</v>
      </c>
      <c r="H119" s="64">
        <v>37000</v>
      </c>
      <c r="I119" s="64">
        <v>39000</v>
      </c>
      <c r="J119" s="64">
        <v>41000</v>
      </c>
      <c r="K119" s="64">
        <v>44000</v>
      </c>
      <c r="L119" s="64">
        <v>47000</v>
      </c>
      <c r="M119" s="64">
        <v>50000</v>
      </c>
    </row>
    <row r="120" spans="1:13" x14ac:dyDescent="0.25">
      <c r="A120" s="32" t="s">
        <v>110</v>
      </c>
      <c r="B120" s="21" t="s">
        <v>823</v>
      </c>
      <c r="C120">
        <v>260000</v>
      </c>
      <c r="D120" s="64">
        <v>600000</v>
      </c>
      <c r="E120" s="64">
        <v>660000</v>
      </c>
      <c r="F120" s="64">
        <v>720000</v>
      </c>
      <c r="G120" s="64">
        <v>770000</v>
      </c>
      <c r="H120" s="64">
        <v>790000</v>
      </c>
      <c r="I120" s="64">
        <v>790000</v>
      </c>
      <c r="J120" s="64">
        <v>780000</v>
      </c>
      <c r="K120" s="64">
        <v>770000</v>
      </c>
      <c r="L120" s="64">
        <v>760000</v>
      </c>
      <c r="M120" s="64">
        <v>770000</v>
      </c>
    </row>
    <row r="121" spans="1:13" x14ac:dyDescent="0.25">
      <c r="A121" s="32" t="s">
        <v>153</v>
      </c>
      <c r="B121" s="21" t="s">
        <v>366</v>
      </c>
      <c r="C121">
        <v>490</v>
      </c>
      <c r="D121" s="64">
        <v>300</v>
      </c>
      <c r="E121" s="64">
        <v>440</v>
      </c>
      <c r="F121" s="64">
        <v>300</v>
      </c>
      <c r="G121" s="64">
        <v>520</v>
      </c>
      <c r="H121" s="64">
        <v>390</v>
      </c>
      <c r="I121" s="64">
        <v>380</v>
      </c>
      <c r="J121" s="64">
        <v>400</v>
      </c>
      <c r="K121" s="64">
        <v>430</v>
      </c>
      <c r="L121" s="64">
        <v>350</v>
      </c>
      <c r="M121" s="64">
        <v>350</v>
      </c>
    </row>
    <row r="122" spans="1:13" x14ac:dyDescent="0.25">
      <c r="A122" s="32" t="s">
        <v>152</v>
      </c>
      <c r="B122" s="21" t="s">
        <v>366</v>
      </c>
      <c r="C122">
        <v>630</v>
      </c>
      <c r="D122" s="64">
        <v>440</v>
      </c>
      <c r="E122" s="64">
        <v>340</v>
      </c>
      <c r="F122" s="64">
        <v>370</v>
      </c>
      <c r="G122" s="64">
        <v>300</v>
      </c>
      <c r="H122" s="64">
        <v>380</v>
      </c>
      <c r="I122" s="64">
        <v>320</v>
      </c>
      <c r="J122" s="64">
        <v>450</v>
      </c>
      <c r="K122" s="64">
        <v>380</v>
      </c>
      <c r="L122" s="64">
        <v>440</v>
      </c>
      <c r="M122" s="64">
        <v>440</v>
      </c>
    </row>
    <row r="123" spans="1:13" x14ac:dyDescent="0.25">
      <c r="A123" s="32" t="s">
        <v>151</v>
      </c>
      <c r="B123" s="21" t="s">
        <v>823</v>
      </c>
      <c r="C123">
        <v>650000</v>
      </c>
      <c r="D123" s="64">
        <v>820000</v>
      </c>
      <c r="E123" s="64">
        <v>820000</v>
      </c>
      <c r="F123" s="64">
        <v>820000</v>
      </c>
      <c r="G123" s="64">
        <v>810000</v>
      </c>
      <c r="H123" s="64">
        <v>790000</v>
      </c>
      <c r="I123" s="64">
        <v>750000</v>
      </c>
      <c r="J123" s="64">
        <v>720000</v>
      </c>
      <c r="K123" s="64">
        <v>690000</v>
      </c>
      <c r="L123" s="64">
        <v>670000</v>
      </c>
      <c r="M123" s="64">
        <v>670000</v>
      </c>
    </row>
    <row r="124" spans="1:13" x14ac:dyDescent="0.25">
      <c r="A124" s="32" t="s">
        <v>149</v>
      </c>
      <c r="B124" s="21" t="s">
        <v>361</v>
      </c>
      <c r="C124">
        <v>1600</v>
      </c>
      <c r="D124" s="64">
        <v>1400</v>
      </c>
      <c r="E124" s="64">
        <v>1500</v>
      </c>
      <c r="F124" s="64">
        <v>1600</v>
      </c>
      <c r="G124" s="64">
        <v>1600</v>
      </c>
      <c r="H124" s="64">
        <v>1600</v>
      </c>
      <c r="I124" s="64">
        <v>1700</v>
      </c>
      <c r="J124" s="64">
        <v>1600</v>
      </c>
      <c r="K124" s="64">
        <v>1600</v>
      </c>
      <c r="L124" s="64">
        <v>1700</v>
      </c>
      <c r="M124" s="64">
        <v>1900</v>
      </c>
    </row>
    <row r="125" spans="1:13" x14ac:dyDescent="0.25">
      <c r="A125" s="32" t="s">
        <v>109</v>
      </c>
      <c r="B125" s="21" t="s">
        <v>356</v>
      </c>
      <c r="C125">
        <v>22000</v>
      </c>
      <c r="D125" s="64">
        <v>16000</v>
      </c>
      <c r="E125" s="64">
        <v>18000</v>
      </c>
      <c r="F125" s="64">
        <v>18000</v>
      </c>
      <c r="G125" s="64">
        <v>19000</v>
      </c>
      <c r="H125" s="64">
        <v>19000</v>
      </c>
      <c r="I125" s="64">
        <v>20000</v>
      </c>
      <c r="J125" s="64">
        <v>20000</v>
      </c>
      <c r="K125" s="64">
        <v>20000</v>
      </c>
      <c r="L125" s="64">
        <v>21000</v>
      </c>
      <c r="M125" s="64">
        <v>23000</v>
      </c>
    </row>
    <row r="126" spans="1:13" x14ac:dyDescent="0.25">
      <c r="A126" s="32" t="s">
        <v>27</v>
      </c>
      <c r="B126" s="21" t="s">
        <v>356</v>
      </c>
      <c r="C126">
        <v>2400</v>
      </c>
      <c r="D126" s="64">
        <v>3400</v>
      </c>
      <c r="E126" s="64">
        <v>3600</v>
      </c>
      <c r="F126" s="64">
        <v>3600</v>
      </c>
      <c r="G126" s="64">
        <v>3600</v>
      </c>
      <c r="H126" s="64">
        <v>3700</v>
      </c>
      <c r="I126" s="64">
        <v>3700</v>
      </c>
      <c r="J126" s="64">
        <v>3900</v>
      </c>
      <c r="K126" s="64">
        <v>3900</v>
      </c>
      <c r="L126" s="64">
        <v>4100</v>
      </c>
      <c r="M126" s="64">
        <v>4200</v>
      </c>
    </row>
    <row r="127" spans="1:13" x14ac:dyDescent="0.25">
      <c r="A127" s="32" t="s">
        <v>148</v>
      </c>
      <c r="B127" s="21" t="s">
        <v>361</v>
      </c>
      <c r="C127">
        <v>120000</v>
      </c>
      <c r="D127" s="64">
        <v>64000</v>
      </c>
      <c r="E127" s="64">
        <v>61000</v>
      </c>
      <c r="F127" s="64">
        <v>60000</v>
      </c>
      <c r="G127" s="64">
        <v>58000</v>
      </c>
      <c r="H127" s="64">
        <v>55000</v>
      </c>
      <c r="I127" s="64">
        <v>50000</v>
      </c>
      <c r="J127" s="64">
        <v>46000</v>
      </c>
      <c r="K127" s="64">
        <v>42000</v>
      </c>
      <c r="L127" s="64">
        <v>40000</v>
      </c>
      <c r="M127" s="64">
        <v>37000</v>
      </c>
    </row>
    <row r="128" spans="1:13" x14ac:dyDescent="0.25">
      <c r="A128" s="32" t="s">
        <v>26</v>
      </c>
      <c r="B128" s="21" t="s">
        <v>356</v>
      </c>
      <c r="C128">
        <v>630000</v>
      </c>
      <c r="D128" s="64">
        <v>600000</v>
      </c>
      <c r="E128" s="64">
        <v>590000</v>
      </c>
      <c r="F128" s="64">
        <v>580000</v>
      </c>
      <c r="G128" s="64">
        <v>570000</v>
      </c>
      <c r="H128" s="64">
        <v>560000</v>
      </c>
      <c r="I128" s="64">
        <v>540000</v>
      </c>
      <c r="J128" s="64">
        <v>530000</v>
      </c>
      <c r="K128" s="64">
        <v>510000</v>
      </c>
      <c r="L128" s="64">
        <v>490000</v>
      </c>
      <c r="M128" s="64">
        <v>480000</v>
      </c>
    </row>
    <row r="129" spans="1:13" x14ac:dyDescent="0.25">
      <c r="A129" s="32" t="s">
        <v>147</v>
      </c>
      <c r="B129" s="21" t="s">
        <v>366</v>
      </c>
      <c r="C129">
        <v>27000</v>
      </c>
      <c r="D129" s="64">
        <v>18000</v>
      </c>
      <c r="E129" s="64">
        <v>17000</v>
      </c>
      <c r="F129" s="64">
        <v>16000</v>
      </c>
      <c r="G129" s="64">
        <v>15000</v>
      </c>
      <c r="H129" s="64">
        <v>14000</v>
      </c>
      <c r="I129" s="64">
        <v>14000</v>
      </c>
      <c r="J129" s="64">
        <v>13000</v>
      </c>
      <c r="K129" s="64">
        <v>13000</v>
      </c>
      <c r="L129" s="64">
        <v>12000</v>
      </c>
      <c r="M129" s="64">
        <v>12000</v>
      </c>
    </row>
    <row r="130" spans="1:13" x14ac:dyDescent="0.25">
      <c r="A130" s="32" t="s">
        <v>146</v>
      </c>
      <c r="B130" s="21" t="s">
        <v>366</v>
      </c>
      <c r="C130">
        <v>11000</v>
      </c>
      <c r="D130" s="64">
        <v>5400</v>
      </c>
      <c r="E130" s="64">
        <v>5700</v>
      </c>
      <c r="F130" s="64">
        <v>5900</v>
      </c>
      <c r="G130" s="64">
        <v>4900</v>
      </c>
      <c r="H130" s="64">
        <v>4400</v>
      </c>
      <c r="I130" s="64">
        <v>4100</v>
      </c>
      <c r="J130" s="64">
        <v>4200</v>
      </c>
      <c r="K130" s="64">
        <v>3800</v>
      </c>
      <c r="L130" s="64">
        <v>3700</v>
      </c>
      <c r="M130" s="64">
        <v>3400</v>
      </c>
    </row>
    <row r="131" spans="1:13" x14ac:dyDescent="0.25">
      <c r="A131" s="32" t="s">
        <v>145</v>
      </c>
      <c r="B131" s="21" t="s">
        <v>366</v>
      </c>
      <c r="C131">
        <v>220</v>
      </c>
      <c r="D131" s="64">
        <v>580</v>
      </c>
      <c r="E131" s="64">
        <v>560</v>
      </c>
      <c r="F131" s="64">
        <v>520</v>
      </c>
      <c r="G131" s="64">
        <v>500</v>
      </c>
      <c r="H131" s="64">
        <v>450</v>
      </c>
      <c r="I131" s="64">
        <v>580</v>
      </c>
      <c r="J131" s="64">
        <v>560</v>
      </c>
      <c r="K131" s="64">
        <v>630</v>
      </c>
      <c r="L131" s="64">
        <v>1000</v>
      </c>
      <c r="M131" s="64">
        <v>860</v>
      </c>
    </row>
    <row r="132" spans="1:13" x14ac:dyDescent="0.25">
      <c r="A132" s="32" t="s">
        <v>144</v>
      </c>
      <c r="B132" s="21" t="s">
        <v>366</v>
      </c>
      <c r="C132">
        <v>110000</v>
      </c>
      <c r="D132" s="64">
        <v>33000</v>
      </c>
      <c r="E132" s="64">
        <v>63000</v>
      </c>
      <c r="F132" s="64">
        <v>51000</v>
      </c>
      <c r="G132" s="64">
        <v>49000</v>
      </c>
      <c r="H132" s="64">
        <v>49000</v>
      </c>
      <c r="I132" s="64">
        <v>58000</v>
      </c>
      <c r="J132" s="64">
        <v>56000</v>
      </c>
      <c r="K132" s="64">
        <v>55000</v>
      </c>
      <c r="L132" s="64">
        <v>53000</v>
      </c>
      <c r="M132" s="64">
        <v>55000</v>
      </c>
    </row>
    <row r="133" spans="1:13" x14ac:dyDescent="0.25">
      <c r="A133" s="32" t="s">
        <v>143</v>
      </c>
      <c r="B133" s="21" t="s">
        <v>356</v>
      </c>
      <c r="C133">
        <v>9700</v>
      </c>
      <c r="D133" s="64">
        <v>8300</v>
      </c>
      <c r="E133" s="64">
        <v>8300</v>
      </c>
      <c r="F133" s="64">
        <v>8300</v>
      </c>
      <c r="G133" s="64">
        <v>8000</v>
      </c>
      <c r="H133" s="64">
        <v>7700</v>
      </c>
      <c r="I133" s="64">
        <v>8500</v>
      </c>
      <c r="J133" s="64">
        <v>8500</v>
      </c>
      <c r="K133" s="64">
        <v>8800</v>
      </c>
      <c r="L133" s="64">
        <v>3400</v>
      </c>
      <c r="M133" s="64">
        <v>9500</v>
      </c>
    </row>
    <row r="134" spans="1:13" x14ac:dyDescent="0.25">
      <c r="A134" s="32" t="s">
        <v>142</v>
      </c>
      <c r="B134" s="21" t="s">
        <v>361</v>
      </c>
      <c r="C134">
        <v>61000</v>
      </c>
      <c r="D134" s="64">
        <v>53000</v>
      </c>
      <c r="E134" s="64">
        <v>54000</v>
      </c>
      <c r="F134" s="64">
        <v>54000</v>
      </c>
      <c r="G134" s="64">
        <v>54000</v>
      </c>
      <c r="H134" s="64">
        <v>53000</v>
      </c>
      <c r="I134" s="64">
        <v>51000</v>
      </c>
      <c r="J134" s="64">
        <v>48000</v>
      </c>
      <c r="K134" s="64">
        <v>45000</v>
      </c>
      <c r="L134" s="64">
        <v>40000</v>
      </c>
      <c r="M134" s="64">
        <v>36000</v>
      </c>
    </row>
    <row r="135" spans="1:13" x14ac:dyDescent="0.25">
      <c r="A135" s="32" t="s">
        <v>141</v>
      </c>
      <c r="B135" s="21" t="s">
        <v>361</v>
      </c>
      <c r="C135">
        <v>330000</v>
      </c>
      <c r="D135" s="64">
        <v>260000</v>
      </c>
      <c r="E135" s="64">
        <v>230000</v>
      </c>
      <c r="F135" s="64">
        <v>220000</v>
      </c>
      <c r="G135" s="64">
        <v>210000</v>
      </c>
      <c r="H135" s="64">
        <v>200000</v>
      </c>
      <c r="I135" s="64">
        <v>210000</v>
      </c>
      <c r="J135" s="64">
        <v>200000</v>
      </c>
      <c r="K135" s="64">
        <v>200000</v>
      </c>
      <c r="L135" s="64">
        <v>190000</v>
      </c>
      <c r="M135" s="64">
        <v>190000</v>
      </c>
    </row>
    <row r="136" spans="1:13" x14ac:dyDescent="0.25">
      <c r="A136" s="32" t="s">
        <v>76</v>
      </c>
      <c r="B136" s="21" t="s">
        <v>353</v>
      </c>
      <c r="C136">
        <v>13000</v>
      </c>
      <c r="D136" s="64">
        <v>35000</v>
      </c>
      <c r="E136" s="64">
        <v>40000</v>
      </c>
      <c r="F136" s="64">
        <v>45000</v>
      </c>
      <c r="G136" s="64">
        <v>49000</v>
      </c>
      <c r="H136" s="64">
        <v>51000</v>
      </c>
      <c r="I136" s="64">
        <v>47000</v>
      </c>
      <c r="J136" s="64">
        <v>51000</v>
      </c>
      <c r="K136" s="64">
        <v>53000</v>
      </c>
      <c r="L136" s="64">
        <v>56000</v>
      </c>
      <c r="M136" s="64">
        <v>56000</v>
      </c>
    </row>
    <row r="137" spans="1:13" x14ac:dyDescent="0.25">
      <c r="A137" s="32" t="s">
        <v>139</v>
      </c>
      <c r="B137" s="21" t="s">
        <v>361</v>
      </c>
      <c r="C137">
        <v>28</v>
      </c>
      <c r="D137" s="64">
        <v>40</v>
      </c>
      <c r="E137" s="64">
        <v>40</v>
      </c>
      <c r="F137" s="64">
        <v>38</v>
      </c>
      <c r="G137" s="64">
        <v>38</v>
      </c>
      <c r="H137" s="64">
        <v>39</v>
      </c>
      <c r="I137" s="64">
        <v>39</v>
      </c>
      <c r="J137" s="64">
        <v>37</v>
      </c>
      <c r="K137" s="64">
        <v>32</v>
      </c>
      <c r="L137" s="64">
        <v>30</v>
      </c>
      <c r="M137" s="64">
        <v>27</v>
      </c>
    </row>
    <row r="138" spans="1:13" x14ac:dyDescent="0.25">
      <c r="A138" s="32" t="s">
        <v>138</v>
      </c>
      <c r="B138" s="21" t="s">
        <v>361</v>
      </c>
      <c r="C138">
        <v>71</v>
      </c>
      <c r="D138" s="64">
        <v>53</v>
      </c>
      <c r="E138" s="64">
        <v>52</v>
      </c>
      <c r="F138" s="64">
        <v>53</v>
      </c>
      <c r="G138" s="64">
        <v>54</v>
      </c>
      <c r="H138" s="64">
        <v>45</v>
      </c>
      <c r="I138" s="64">
        <v>48</v>
      </c>
      <c r="J138" s="64">
        <v>41</v>
      </c>
      <c r="K138" s="64">
        <v>24</v>
      </c>
      <c r="L138" s="64">
        <v>33</v>
      </c>
      <c r="M138" s="64">
        <v>27</v>
      </c>
    </row>
    <row r="139" spans="1:13" x14ac:dyDescent="0.25">
      <c r="A139" s="32" t="s">
        <v>25</v>
      </c>
      <c r="B139" s="21" t="s">
        <v>356</v>
      </c>
      <c r="C139">
        <v>67</v>
      </c>
      <c r="D139" s="64">
        <v>58</v>
      </c>
      <c r="E139" s="64">
        <v>56</v>
      </c>
      <c r="F139" s="64">
        <v>61</v>
      </c>
      <c r="G139" s="64">
        <v>52</v>
      </c>
      <c r="H139" s="64">
        <v>53</v>
      </c>
      <c r="I139" s="64">
        <v>51</v>
      </c>
      <c r="J139" s="64">
        <v>52</v>
      </c>
      <c r="K139" s="64">
        <v>58</v>
      </c>
      <c r="L139" s="64">
        <v>62</v>
      </c>
      <c r="M139" s="64">
        <v>59</v>
      </c>
    </row>
    <row r="140" spans="1:13" x14ac:dyDescent="0.25">
      <c r="A140" s="32" t="s">
        <v>108</v>
      </c>
      <c r="B140" s="21" t="s">
        <v>356</v>
      </c>
      <c r="D140" s="64">
        <v>260</v>
      </c>
      <c r="E140" s="64">
        <v>270</v>
      </c>
      <c r="F140" s="64">
        <v>240</v>
      </c>
      <c r="G140" s="64">
        <v>240</v>
      </c>
      <c r="H140" s="64">
        <v>260</v>
      </c>
      <c r="I140" s="64">
        <v>200</v>
      </c>
      <c r="J140" s="64">
        <v>220</v>
      </c>
      <c r="K140" s="64">
        <v>230</v>
      </c>
      <c r="L140" s="64">
        <v>270</v>
      </c>
      <c r="M140" s="64">
        <v>260</v>
      </c>
    </row>
    <row r="141" spans="1:13" x14ac:dyDescent="0.25">
      <c r="A141" s="32" t="s">
        <v>136</v>
      </c>
      <c r="B141" s="21" t="s">
        <v>366</v>
      </c>
      <c r="C141">
        <v>300</v>
      </c>
      <c r="D141" s="64">
        <v>9400</v>
      </c>
      <c r="E141" s="64">
        <v>8400</v>
      </c>
      <c r="F141" s="64">
        <v>8100</v>
      </c>
      <c r="G141" s="64">
        <v>7300</v>
      </c>
      <c r="H141" s="64">
        <v>6700</v>
      </c>
      <c r="I141" s="64">
        <v>6800</v>
      </c>
      <c r="J141" s="64">
        <v>6700</v>
      </c>
      <c r="K141" s="64">
        <v>6500</v>
      </c>
      <c r="L141" s="64">
        <v>6100</v>
      </c>
      <c r="M141" s="64">
        <v>5600</v>
      </c>
    </row>
    <row r="142" spans="1:13" x14ac:dyDescent="0.25">
      <c r="A142" s="32" t="s">
        <v>23</v>
      </c>
      <c r="B142" s="21" t="s">
        <v>356</v>
      </c>
      <c r="C142">
        <v>9300</v>
      </c>
      <c r="D142" s="64">
        <v>45000</v>
      </c>
      <c r="E142" s="64">
        <v>47000</v>
      </c>
      <c r="F142" s="64">
        <v>49000</v>
      </c>
      <c r="G142" s="64">
        <v>51000</v>
      </c>
      <c r="H142" s="64">
        <v>53000</v>
      </c>
      <c r="I142" s="64">
        <v>56000</v>
      </c>
      <c r="J142" s="64">
        <v>58000</v>
      </c>
      <c r="K142" s="64">
        <v>61000</v>
      </c>
      <c r="L142" s="64">
        <v>63000</v>
      </c>
      <c r="M142" s="64">
        <v>68000</v>
      </c>
    </row>
    <row r="143" spans="1:13" x14ac:dyDescent="0.25">
      <c r="A143" s="32" t="s">
        <v>135</v>
      </c>
      <c r="B143" s="21" t="s">
        <v>361</v>
      </c>
      <c r="D143" s="64"/>
      <c r="E143" s="64"/>
      <c r="F143" s="64"/>
      <c r="G143" s="64"/>
      <c r="H143" s="64"/>
      <c r="I143" s="64">
        <v>3900</v>
      </c>
      <c r="J143" s="64">
        <v>3900</v>
      </c>
      <c r="K143" s="64">
        <v>3500</v>
      </c>
      <c r="L143" s="64">
        <v>4100</v>
      </c>
      <c r="M143" s="64">
        <v>2500</v>
      </c>
    </row>
    <row r="144" spans="1:13" x14ac:dyDescent="0.25">
      <c r="A144" s="32" t="s">
        <v>75</v>
      </c>
      <c r="B144" s="21" t="s">
        <v>353</v>
      </c>
      <c r="C144">
        <v>28000</v>
      </c>
      <c r="D144" s="64">
        <v>32000</v>
      </c>
      <c r="E144" s="64">
        <v>35000</v>
      </c>
      <c r="F144" s="64">
        <v>38000</v>
      </c>
      <c r="G144" s="64">
        <v>42000</v>
      </c>
      <c r="H144" s="64">
        <v>46000</v>
      </c>
      <c r="I144" s="64">
        <v>50000</v>
      </c>
      <c r="J144" s="64">
        <v>54000</v>
      </c>
      <c r="K144" s="64">
        <v>58000</v>
      </c>
      <c r="L144" s="64">
        <v>63000</v>
      </c>
      <c r="M144" s="64">
        <v>68000</v>
      </c>
    </row>
    <row r="145" spans="1:13" x14ac:dyDescent="0.25">
      <c r="A145" s="32" t="s">
        <v>133</v>
      </c>
      <c r="B145" s="21" t="s">
        <v>366</v>
      </c>
      <c r="C145">
        <v>2600</v>
      </c>
      <c r="D145" s="64">
        <v>2500</v>
      </c>
      <c r="E145" s="64">
        <v>2100</v>
      </c>
      <c r="F145" s="64">
        <v>2100</v>
      </c>
      <c r="G145" s="64">
        <v>2400</v>
      </c>
      <c r="H145" s="64">
        <v>2000</v>
      </c>
      <c r="I145" s="64">
        <v>1900</v>
      </c>
      <c r="J145" s="64">
        <v>1800</v>
      </c>
      <c r="K145" s="64">
        <v>1900</v>
      </c>
      <c r="L145" s="64">
        <v>2300</v>
      </c>
      <c r="M145" s="64">
        <v>2000</v>
      </c>
    </row>
    <row r="146" spans="1:13" x14ac:dyDescent="0.25">
      <c r="A146" s="32" t="s">
        <v>132</v>
      </c>
      <c r="B146" s="21" t="s">
        <v>366</v>
      </c>
      <c r="C146">
        <v>2400</v>
      </c>
      <c r="D146" s="64">
        <v>1500</v>
      </c>
      <c r="E146" s="64">
        <v>1400</v>
      </c>
      <c r="F146" s="64">
        <v>1500</v>
      </c>
      <c r="G146" s="64">
        <v>1400</v>
      </c>
      <c r="H146" s="64">
        <v>850</v>
      </c>
      <c r="I146" s="64">
        <v>1100</v>
      </c>
      <c r="J146" s="64">
        <v>1000</v>
      </c>
      <c r="K146" s="64">
        <v>920</v>
      </c>
      <c r="L146" s="64">
        <v>850</v>
      </c>
      <c r="M146" s="64">
        <v>550</v>
      </c>
    </row>
    <row r="147" spans="1:13" x14ac:dyDescent="0.25">
      <c r="A147" s="32" t="s">
        <v>131</v>
      </c>
      <c r="B147" s="21" t="s">
        <v>366</v>
      </c>
      <c r="C147">
        <v>1300</v>
      </c>
      <c r="D147" s="64">
        <v>520</v>
      </c>
      <c r="E147" s="64">
        <v>530</v>
      </c>
      <c r="F147" s="64">
        <v>520</v>
      </c>
      <c r="G147" s="64">
        <v>390</v>
      </c>
      <c r="H147" s="64">
        <v>340</v>
      </c>
      <c r="I147" s="64">
        <v>430</v>
      </c>
      <c r="J147" s="64">
        <v>270</v>
      </c>
      <c r="K147" s="64">
        <v>320</v>
      </c>
      <c r="L147" s="64">
        <v>300</v>
      </c>
      <c r="M147" s="64">
        <v>290</v>
      </c>
    </row>
    <row r="148" spans="1:13" x14ac:dyDescent="0.25">
      <c r="A148" s="32" t="s">
        <v>74</v>
      </c>
      <c r="B148" s="21" t="s">
        <v>356</v>
      </c>
      <c r="C148">
        <v>2000</v>
      </c>
      <c r="D148" s="64">
        <v>1500</v>
      </c>
      <c r="E148" s="64">
        <v>1500</v>
      </c>
      <c r="F148" s="64">
        <v>1400</v>
      </c>
      <c r="G148" s="64">
        <v>1400</v>
      </c>
      <c r="H148" s="64">
        <v>1200</v>
      </c>
      <c r="I148" s="64">
        <v>1200</v>
      </c>
      <c r="J148" s="64">
        <v>1100</v>
      </c>
      <c r="K148" s="64">
        <v>1100</v>
      </c>
      <c r="L148" s="64">
        <v>1000</v>
      </c>
      <c r="M148" s="64">
        <v>970</v>
      </c>
    </row>
    <row r="149" spans="1:13" x14ac:dyDescent="0.25">
      <c r="A149" s="32" t="s">
        <v>130</v>
      </c>
      <c r="B149" s="21" t="s">
        <v>353</v>
      </c>
      <c r="C149">
        <v>39000</v>
      </c>
      <c r="D149" s="64">
        <v>43000</v>
      </c>
      <c r="E149" s="64">
        <v>44000</v>
      </c>
      <c r="F149" s="64">
        <v>43000</v>
      </c>
      <c r="G149" s="64">
        <v>42000</v>
      </c>
      <c r="H149" s="64">
        <v>41000</v>
      </c>
      <c r="I149" s="64">
        <v>41000</v>
      </c>
      <c r="J149" s="64">
        <v>42000</v>
      </c>
      <c r="K149" s="64">
        <v>43000</v>
      </c>
      <c r="L149" s="64">
        <v>45000</v>
      </c>
      <c r="M149" s="64">
        <v>45000</v>
      </c>
    </row>
    <row r="150" spans="1:13" x14ac:dyDescent="0.25">
      <c r="A150" s="32" t="s">
        <v>129</v>
      </c>
      <c r="B150" s="21" t="s">
        <v>361</v>
      </c>
      <c r="C150">
        <v>160000</v>
      </c>
      <c r="D150" s="64">
        <v>240000</v>
      </c>
      <c r="E150" s="64">
        <v>290000</v>
      </c>
      <c r="F150" s="64">
        <v>330000</v>
      </c>
      <c r="G150" s="64">
        <v>350000</v>
      </c>
      <c r="H150" s="64">
        <v>370000</v>
      </c>
      <c r="I150" s="64">
        <v>390000</v>
      </c>
      <c r="J150" s="64">
        <v>390000</v>
      </c>
      <c r="K150" s="64">
        <v>400000</v>
      </c>
      <c r="L150" s="64">
        <v>400000</v>
      </c>
      <c r="M150" s="64">
        <v>400000</v>
      </c>
    </row>
    <row r="151" spans="1:13" x14ac:dyDescent="0.25">
      <c r="A151" s="32" t="s">
        <v>128</v>
      </c>
      <c r="B151" s="21" t="s">
        <v>366</v>
      </c>
      <c r="C151">
        <v>11000</v>
      </c>
      <c r="D151" s="64">
        <v>11000</v>
      </c>
      <c r="E151" s="64">
        <v>8700</v>
      </c>
      <c r="F151" s="64">
        <v>10000</v>
      </c>
      <c r="G151" s="64">
        <v>10000</v>
      </c>
      <c r="H151" s="64">
        <v>7100</v>
      </c>
      <c r="I151" s="64">
        <v>10000</v>
      </c>
      <c r="J151" s="64">
        <v>11000</v>
      </c>
      <c r="K151" s="64">
        <v>9900</v>
      </c>
      <c r="L151" s="64">
        <v>9000</v>
      </c>
      <c r="M151" s="64">
        <v>8600</v>
      </c>
    </row>
    <row r="152" spans="1:13" x14ac:dyDescent="0.25">
      <c r="A152" s="32" t="s">
        <v>22</v>
      </c>
      <c r="B152" s="21" t="s">
        <v>356</v>
      </c>
      <c r="C152">
        <v>20000</v>
      </c>
      <c r="D152" s="64">
        <v>20000</v>
      </c>
      <c r="E152" s="64">
        <v>20000</v>
      </c>
      <c r="F152" s="64">
        <v>20000</v>
      </c>
      <c r="G152" s="64">
        <v>19000</v>
      </c>
      <c r="H152" s="64">
        <v>19000</v>
      </c>
      <c r="I152" s="64">
        <v>20000</v>
      </c>
      <c r="J152" s="64">
        <v>20000</v>
      </c>
      <c r="K152" s="64">
        <v>20000</v>
      </c>
      <c r="L152" s="64">
        <v>20000</v>
      </c>
      <c r="M152" s="64">
        <v>20000</v>
      </c>
    </row>
    <row r="153" spans="1:13" x14ac:dyDescent="0.25">
      <c r="A153" s="32" t="s">
        <v>21</v>
      </c>
      <c r="B153" s="21" t="s">
        <v>356</v>
      </c>
      <c r="C153">
        <v>67000</v>
      </c>
      <c r="D153" s="64">
        <v>65000</v>
      </c>
      <c r="E153" s="64">
        <v>68000</v>
      </c>
      <c r="F153" s="64">
        <v>70000</v>
      </c>
      <c r="G153" s="64">
        <v>71000</v>
      </c>
      <c r="H153" s="64">
        <v>72000</v>
      </c>
      <c r="I153" s="64">
        <v>72000</v>
      </c>
      <c r="J153" s="64">
        <v>73000</v>
      </c>
      <c r="K153" s="64">
        <v>75000</v>
      </c>
      <c r="L153" s="64">
        <v>80000</v>
      </c>
      <c r="M153" s="64">
        <v>87000</v>
      </c>
    </row>
    <row r="154" spans="1:13" x14ac:dyDescent="0.25">
      <c r="A154" s="32" t="s">
        <v>127</v>
      </c>
      <c r="B154" s="21" t="s">
        <v>361</v>
      </c>
      <c r="C154">
        <v>560</v>
      </c>
      <c r="D154" s="64">
        <v>600</v>
      </c>
      <c r="E154" s="64">
        <v>600</v>
      </c>
      <c r="F154" s="64">
        <v>620</v>
      </c>
      <c r="G154" s="64">
        <v>690</v>
      </c>
      <c r="H154" s="64">
        <v>740</v>
      </c>
      <c r="I154" s="64">
        <v>800</v>
      </c>
      <c r="J154" s="64">
        <v>880</v>
      </c>
      <c r="K154" s="64">
        <v>970</v>
      </c>
      <c r="L154" s="64">
        <v>1000</v>
      </c>
      <c r="M154" s="64">
        <v>1100</v>
      </c>
    </row>
    <row r="155" spans="1:13" x14ac:dyDescent="0.25">
      <c r="A155" s="32" t="s">
        <v>20</v>
      </c>
      <c r="B155" s="21" t="s">
        <v>356</v>
      </c>
      <c r="C155">
        <v>2800</v>
      </c>
      <c r="D155" s="64">
        <v>5500</v>
      </c>
      <c r="E155" s="64">
        <v>6100</v>
      </c>
      <c r="F155" s="64">
        <v>6400</v>
      </c>
      <c r="G155" s="64">
        <v>6900</v>
      </c>
      <c r="H155" s="64">
        <v>7100</v>
      </c>
      <c r="I155" s="64">
        <v>7200</v>
      </c>
      <c r="J155" s="64">
        <v>7400</v>
      </c>
      <c r="K155" s="64">
        <v>7900</v>
      </c>
      <c r="L155" s="64">
        <v>7600</v>
      </c>
      <c r="M155" s="64">
        <v>8000</v>
      </c>
    </row>
    <row r="156" spans="1:13" x14ac:dyDescent="0.25">
      <c r="A156" s="32" t="s">
        <v>126</v>
      </c>
      <c r="B156" s="21" t="s">
        <v>366</v>
      </c>
      <c r="C156">
        <v>980</v>
      </c>
      <c r="D156" s="64">
        <v>590</v>
      </c>
      <c r="E156" s="64">
        <v>570</v>
      </c>
      <c r="F156" s="64">
        <v>530</v>
      </c>
      <c r="G156" s="64">
        <v>550</v>
      </c>
      <c r="H156" s="64">
        <v>560</v>
      </c>
      <c r="I156" s="64">
        <v>860</v>
      </c>
      <c r="J156" s="64">
        <v>700</v>
      </c>
      <c r="K156" s="64">
        <v>660</v>
      </c>
      <c r="L156" s="64">
        <v>640</v>
      </c>
      <c r="M156" s="64">
        <v>750</v>
      </c>
    </row>
    <row r="157" spans="1:13" x14ac:dyDescent="0.25">
      <c r="A157" s="32" t="s">
        <v>125</v>
      </c>
      <c r="B157" s="21" t="s">
        <v>366</v>
      </c>
      <c r="C157">
        <v>2300</v>
      </c>
      <c r="D157" s="64">
        <v>690</v>
      </c>
      <c r="E157" s="64">
        <v>750</v>
      </c>
      <c r="F157" s="64">
        <v>880</v>
      </c>
      <c r="G157" s="64">
        <v>790</v>
      </c>
      <c r="H157" s="64">
        <v>750</v>
      </c>
      <c r="I157" s="64">
        <v>730</v>
      </c>
      <c r="J157" s="64">
        <v>650</v>
      </c>
      <c r="K157" s="64">
        <v>630</v>
      </c>
      <c r="L157" s="64">
        <v>400</v>
      </c>
      <c r="M157" s="64">
        <v>460</v>
      </c>
    </row>
    <row r="158" spans="1:13" x14ac:dyDescent="0.25">
      <c r="A158" s="32" t="s">
        <v>19</v>
      </c>
      <c r="B158" s="21" t="s">
        <v>356</v>
      </c>
      <c r="C158">
        <v>11000</v>
      </c>
      <c r="D158" s="64">
        <v>7100</v>
      </c>
      <c r="E158" s="64">
        <v>7000</v>
      </c>
      <c r="F158" s="64">
        <v>6800</v>
      </c>
      <c r="G158" s="64">
        <v>6600</v>
      </c>
      <c r="H158" s="64">
        <v>6500</v>
      </c>
      <c r="I158" s="64">
        <v>6600</v>
      </c>
      <c r="J158" s="64">
        <v>6600</v>
      </c>
      <c r="K158" s="64">
        <v>6600</v>
      </c>
      <c r="L158" s="64">
        <v>6300</v>
      </c>
      <c r="M158" s="64">
        <v>6000</v>
      </c>
    </row>
    <row r="159" spans="1:13" x14ac:dyDescent="0.25">
      <c r="A159" s="32" t="s">
        <v>72</v>
      </c>
      <c r="B159" s="21" t="s">
        <v>353</v>
      </c>
      <c r="C159">
        <v>9100</v>
      </c>
      <c r="D159" s="64">
        <v>14000</v>
      </c>
      <c r="E159" s="64">
        <v>17000</v>
      </c>
      <c r="F159" s="64">
        <v>20000</v>
      </c>
      <c r="G159" s="64">
        <v>20000</v>
      </c>
      <c r="H159" s="64">
        <v>21000</v>
      </c>
      <c r="I159" s="64">
        <v>25000</v>
      </c>
      <c r="J159" s="64">
        <v>22000</v>
      </c>
      <c r="K159" s="64">
        <v>26000</v>
      </c>
      <c r="L159" s="64">
        <v>24000</v>
      </c>
      <c r="M159" s="64">
        <v>26000</v>
      </c>
    </row>
    <row r="160" spans="1:13" x14ac:dyDescent="0.25">
      <c r="A160" s="32" t="s">
        <v>384</v>
      </c>
      <c r="B160" s="21" t="s">
        <v>361</v>
      </c>
      <c r="C160">
        <v>1700</v>
      </c>
      <c r="D160" s="64">
        <v>1200</v>
      </c>
      <c r="E160" s="64">
        <v>1000</v>
      </c>
      <c r="F160" s="64">
        <v>910</v>
      </c>
      <c r="G160" s="64">
        <v>790</v>
      </c>
      <c r="H160" s="64">
        <v>730</v>
      </c>
      <c r="I160" s="64">
        <v>660</v>
      </c>
      <c r="J160" s="64">
        <v>620</v>
      </c>
      <c r="K160" s="64">
        <v>600</v>
      </c>
      <c r="L160" s="64">
        <v>570</v>
      </c>
      <c r="M160" s="64">
        <v>520</v>
      </c>
    </row>
    <row r="161" spans="1:13" x14ac:dyDescent="0.25">
      <c r="A161" s="32" t="s">
        <v>18</v>
      </c>
      <c r="B161" s="21" t="s">
        <v>361</v>
      </c>
      <c r="C161">
        <v>120000</v>
      </c>
      <c r="D161" s="64">
        <v>130000</v>
      </c>
      <c r="E161" s="64">
        <v>130000</v>
      </c>
      <c r="F161" s="64">
        <v>120000</v>
      </c>
      <c r="G161" s="64">
        <v>120000</v>
      </c>
      <c r="H161" s="64">
        <v>120000</v>
      </c>
      <c r="I161" s="64">
        <v>120000</v>
      </c>
      <c r="J161" s="64">
        <v>130000</v>
      </c>
      <c r="K161" s="64">
        <v>130000</v>
      </c>
      <c r="L161" s="64">
        <v>130000</v>
      </c>
      <c r="M161" s="64">
        <v>130000</v>
      </c>
    </row>
    <row r="162" spans="1:13" x14ac:dyDescent="0.25">
      <c r="A162" s="32" t="s">
        <v>17</v>
      </c>
      <c r="B162" s="21" t="s">
        <v>356</v>
      </c>
      <c r="D162" s="64"/>
      <c r="E162" s="64"/>
      <c r="F162" s="64">
        <v>7000</v>
      </c>
      <c r="G162" s="64">
        <v>7000</v>
      </c>
      <c r="H162" s="64">
        <v>7100</v>
      </c>
      <c r="I162" s="64">
        <v>7200</v>
      </c>
      <c r="J162" s="64">
        <v>7900</v>
      </c>
      <c r="K162" s="64">
        <v>8500</v>
      </c>
      <c r="L162" s="64">
        <v>8400</v>
      </c>
      <c r="M162" s="64">
        <v>8400</v>
      </c>
    </row>
    <row r="163" spans="1:13" x14ac:dyDescent="0.25">
      <c r="A163" s="32" t="s">
        <v>70</v>
      </c>
      <c r="B163" s="21" t="s">
        <v>353</v>
      </c>
      <c r="C163">
        <v>27000</v>
      </c>
      <c r="D163" s="64">
        <v>34000</v>
      </c>
      <c r="E163" s="64">
        <v>35000</v>
      </c>
      <c r="F163" s="64">
        <v>37000</v>
      </c>
      <c r="G163" s="64">
        <v>38000</v>
      </c>
      <c r="H163" s="64">
        <v>40000</v>
      </c>
      <c r="I163" s="64">
        <v>42000</v>
      </c>
      <c r="J163" s="64">
        <v>44000</v>
      </c>
      <c r="K163" s="64">
        <v>46000</v>
      </c>
      <c r="L163" s="64">
        <v>46000</v>
      </c>
      <c r="M163" s="64">
        <v>53000</v>
      </c>
    </row>
    <row r="164" spans="1:13" x14ac:dyDescent="0.25">
      <c r="A164" s="32" t="s">
        <v>16</v>
      </c>
      <c r="B164" s="21" t="s">
        <v>356</v>
      </c>
      <c r="C164">
        <v>50</v>
      </c>
      <c r="D164" s="64">
        <v>41</v>
      </c>
      <c r="E164" s="64">
        <v>37</v>
      </c>
      <c r="F164" s="64">
        <v>40</v>
      </c>
      <c r="G164" s="64">
        <v>39</v>
      </c>
      <c r="H164" s="64">
        <v>43</v>
      </c>
      <c r="I164" s="64">
        <v>41</v>
      </c>
      <c r="J164" s="64">
        <v>35</v>
      </c>
      <c r="K164" s="64">
        <v>37</v>
      </c>
      <c r="L164" s="64">
        <v>40</v>
      </c>
      <c r="M164" s="64">
        <v>45</v>
      </c>
    </row>
    <row r="165" spans="1:13" x14ac:dyDescent="0.25">
      <c r="A165" s="32" t="s">
        <v>123</v>
      </c>
      <c r="B165" s="21" t="s">
        <v>366</v>
      </c>
      <c r="C165">
        <v>190</v>
      </c>
      <c r="D165" s="64">
        <v>260</v>
      </c>
      <c r="E165" s="64">
        <v>280</v>
      </c>
      <c r="F165" s="64">
        <v>160</v>
      </c>
      <c r="G165" s="64">
        <v>150</v>
      </c>
      <c r="H165" s="64">
        <v>230</v>
      </c>
      <c r="I165" s="64">
        <v>170</v>
      </c>
      <c r="J165" s="64">
        <v>370</v>
      </c>
      <c r="K165" s="64">
        <v>240</v>
      </c>
      <c r="L165" s="64">
        <v>370</v>
      </c>
      <c r="M165" s="64">
        <v>310</v>
      </c>
    </row>
    <row r="166" spans="1:13" x14ac:dyDescent="0.25">
      <c r="A166" s="32" t="s">
        <v>15</v>
      </c>
      <c r="B166" s="21" t="s">
        <v>361</v>
      </c>
      <c r="C166">
        <v>3100</v>
      </c>
      <c r="D166" s="64">
        <v>2800</v>
      </c>
      <c r="E166" s="64">
        <v>2600</v>
      </c>
      <c r="F166" s="64">
        <v>2400</v>
      </c>
      <c r="G166" s="64">
        <v>2600</v>
      </c>
      <c r="H166" s="64">
        <v>2600</v>
      </c>
      <c r="I166" s="64">
        <v>2700</v>
      </c>
      <c r="J166" s="64">
        <v>2700</v>
      </c>
      <c r="K166" s="64">
        <v>3000</v>
      </c>
      <c r="L166" s="64">
        <v>2900</v>
      </c>
      <c r="M166" s="64">
        <v>3100</v>
      </c>
    </row>
    <row r="167" spans="1:13" x14ac:dyDescent="0.25">
      <c r="A167" s="32" t="s">
        <v>122</v>
      </c>
      <c r="B167" s="21" t="s">
        <v>361</v>
      </c>
      <c r="C167">
        <v>29000</v>
      </c>
      <c r="D167" s="64">
        <v>31000</v>
      </c>
      <c r="E167" s="64">
        <v>29000</v>
      </c>
      <c r="F167" s="64">
        <v>26000</v>
      </c>
      <c r="G167" s="64">
        <v>24000</v>
      </c>
      <c r="H167" s="64">
        <v>22000</v>
      </c>
      <c r="I167" s="64">
        <v>20000</v>
      </c>
      <c r="J167" s="64">
        <v>19000</v>
      </c>
      <c r="K167" s="64">
        <v>19000</v>
      </c>
      <c r="L167" s="64">
        <v>19000</v>
      </c>
      <c r="M167" s="64">
        <v>19000</v>
      </c>
    </row>
    <row r="168" spans="1:13" x14ac:dyDescent="0.25">
      <c r="A168" s="32" t="s">
        <v>121</v>
      </c>
      <c r="B168" s="21" t="s">
        <v>356</v>
      </c>
      <c r="C168">
        <v>2700</v>
      </c>
      <c r="D168" s="64">
        <v>4800</v>
      </c>
      <c r="E168" s="64">
        <v>4600</v>
      </c>
      <c r="F168" s="64">
        <v>4500</v>
      </c>
      <c r="G168" s="64">
        <v>4300</v>
      </c>
      <c r="H168" s="64">
        <v>4100</v>
      </c>
      <c r="I168" s="64">
        <v>3900</v>
      </c>
      <c r="J168" s="64">
        <v>3900</v>
      </c>
      <c r="K168" s="64">
        <v>3800</v>
      </c>
      <c r="L168" s="64">
        <v>4300</v>
      </c>
      <c r="M168" s="64">
        <v>4600</v>
      </c>
    </row>
    <row r="169" spans="1:13" x14ac:dyDescent="0.25">
      <c r="A169" s="32" t="s">
        <v>69</v>
      </c>
      <c r="B169" s="21" t="s">
        <v>353</v>
      </c>
      <c r="C169">
        <v>19000</v>
      </c>
      <c r="D169" s="64">
        <v>70000</v>
      </c>
      <c r="E169" s="64">
        <v>78000</v>
      </c>
      <c r="F169" s="64">
        <v>89000</v>
      </c>
      <c r="G169" s="64">
        <v>95000</v>
      </c>
      <c r="H169" s="64">
        <v>97000</v>
      </c>
      <c r="I169" s="64">
        <v>98000</v>
      </c>
      <c r="J169" s="64">
        <v>97000</v>
      </c>
      <c r="K169" s="64">
        <v>94000</v>
      </c>
      <c r="L169" s="64">
        <v>89000</v>
      </c>
      <c r="M169" s="64">
        <v>91000</v>
      </c>
    </row>
    <row r="170" spans="1:13" x14ac:dyDescent="0.25">
      <c r="A170" s="32" t="s">
        <v>11</v>
      </c>
      <c r="B170" s="21" t="s">
        <v>356</v>
      </c>
      <c r="C170">
        <v>30000</v>
      </c>
      <c r="D170" s="64">
        <v>52000</v>
      </c>
      <c r="E170" s="64">
        <v>55000</v>
      </c>
      <c r="F170" s="64">
        <v>57000</v>
      </c>
      <c r="G170" s="64">
        <v>58000</v>
      </c>
      <c r="H170" s="64">
        <v>58000</v>
      </c>
      <c r="I170" s="64">
        <v>60000</v>
      </c>
      <c r="J170" s="64">
        <v>59000</v>
      </c>
      <c r="K170" s="64">
        <v>60000</v>
      </c>
      <c r="L170" s="64">
        <v>60000</v>
      </c>
      <c r="M170" s="64">
        <v>59000</v>
      </c>
    </row>
    <row r="171" spans="1:13" x14ac:dyDescent="0.25">
      <c r="A171" s="32" t="s">
        <v>120</v>
      </c>
      <c r="B171" s="21" t="s">
        <v>366</v>
      </c>
      <c r="C171">
        <v>280</v>
      </c>
      <c r="D171" s="64">
        <v>220</v>
      </c>
      <c r="E171" s="64">
        <v>220</v>
      </c>
      <c r="F171" s="64">
        <v>240</v>
      </c>
      <c r="G171" s="64">
        <v>250</v>
      </c>
      <c r="H171" s="64">
        <v>260</v>
      </c>
      <c r="I171" s="64">
        <v>290</v>
      </c>
      <c r="J171" s="64">
        <v>300</v>
      </c>
      <c r="K171" s="64">
        <v>320</v>
      </c>
      <c r="L171" s="64">
        <v>320</v>
      </c>
      <c r="M171" s="64">
        <v>330</v>
      </c>
    </row>
    <row r="172" spans="1:13" x14ac:dyDescent="0.25">
      <c r="A172" s="32" t="s">
        <v>119</v>
      </c>
      <c r="B172" s="21" t="s">
        <v>366</v>
      </c>
      <c r="C172">
        <v>10000</v>
      </c>
      <c r="D172" s="64">
        <v>9200</v>
      </c>
      <c r="E172" s="64">
        <v>8300</v>
      </c>
      <c r="F172" s="64">
        <v>11000</v>
      </c>
      <c r="G172" s="64">
        <v>8800</v>
      </c>
      <c r="H172" s="64">
        <v>10000</v>
      </c>
      <c r="I172" s="64">
        <v>12000</v>
      </c>
      <c r="J172" s="64">
        <v>12000</v>
      </c>
      <c r="K172" s="64">
        <v>12000</v>
      </c>
      <c r="L172" s="64">
        <v>8900</v>
      </c>
      <c r="M172" s="64">
        <v>9100</v>
      </c>
    </row>
    <row r="173" spans="1:13" x14ac:dyDescent="0.25">
      <c r="A173" s="32" t="s">
        <v>118</v>
      </c>
      <c r="B173" s="21" t="s">
        <v>353</v>
      </c>
      <c r="C173">
        <v>73000</v>
      </c>
      <c r="D173" s="64">
        <v>74000</v>
      </c>
      <c r="E173" s="64">
        <v>77000</v>
      </c>
      <c r="F173" s="64">
        <v>79000</v>
      </c>
      <c r="G173" s="64">
        <v>81000</v>
      </c>
      <c r="H173" s="64">
        <v>80000</v>
      </c>
      <c r="I173" s="64">
        <v>77000</v>
      </c>
      <c r="J173" s="64">
        <v>75000</v>
      </c>
      <c r="K173" s="64">
        <v>75000</v>
      </c>
      <c r="L173" s="64">
        <v>77000</v>
      </c>
      <c r="M173" s="64">
        <v>75000</v>
      </c>
    </row>
    <row r="174" spans="1:13" x14ac:dyDescent="0.25">
      <c r="A174" s="32" t="s">
        <v>117</v>
      </c>
      <c r="B174" s="21" t="s">
        <v>366</v>
      </c>
      <c r="C174">
        <v>41000</v>
      </c>
      <c r="D174" s="64">
        <v>22000</v>
      </c>
      <c r="E174" s="64">
        <v>22000</v>
      </c>
      <c r="F174" s="64">
        <v>20000</v>
      </c>
      <c r="G174" s="64">
        <v>20000</v>
      </c>
      <c r="H174" s="64">
        <v>19000</v>
      </c>
      <c r="I174" s="64">
        <v>19000</v>
      </c>
      <c r="J174" s="64">
        <v>19000</v>
      </c>
      <c r="K174" s="64">
        <v>18000</v>
      </c>
      <c r="L174" s="64">
        <v>18000</v>
      </c>
      <c r="M174" s="64">
        <v>14000</v>
      </c>
    </row>
    <row r="175" spans="1:13" x14ac:dyDescent="0.25">
      <c r="A175" s="32" t="s">
        <v>116</v>
      </c>
      <c r="B175" s="21" t="s">
        <v>361</v>
      </c>
      <c r="C175">
        <v>980</v>
      </c>
      <c r="D175" s="64">
        <v>1000</v>
      </c>
      <c r="E175" s="64">
        <v>1000</v>
      </c>
      <c r="F175" s="64">
        <v>1000</v>
      </c>
      <c r="G175" s="64">
        <v>970</v>
      </c>
      <c r="H175" s="64">
        <v>890</v>
      </c>
      <c r="I175" s="64">
        <v>920</v>
      </c>
      <c r="J175" s="64">
        <v>940</v>
      </c>
      <c r="K175" s="64">
        <v>900</v>
      </c>
      <c r="L175" s="64">
        <v>830</v>
      </c>
      <c r="M175" s="64">
        <v>770</v>
      </c>
    </row>
    <row r="176" spans="1:13" x14ac:dyDescent="0.25">
      <c r="A176" s="32" t="s">
        <v>9</v>
      </c>
      <c r="B176" s="21" t="s">
        <v>356</v>
      </c>
      <c r="C176">
        <v>52000</v>
      </c>
      <c r="D176" s="64">
        <v>57000</v>
      </c>
      <c r="E176" s="64">
        <v>55000</v>
      </c>
      <c r="F176" s="64">
        <v>54000</v>
      </c>
      <c r="G176" s="64">
        <v>54000</v>
      </c>
      <c r="H176" s="64">
        <v>54000</v>
      </c>
      <c r="I176" s="64">
        <v>53000</v>
      </c>
      <c r="J176" s="64">
        <v>54000</v>
      </c>
      <c r="K176" s="64">
        <v>57000</v>
      </c>
      <c r="L176" s="64">
        <v>61000</v>
      </c>
      <c r="M176" s="64">
        <v>63000</v>
      </c>
    </row>
    <row r="177" spans="1:13" x14ac:dyDescent="0.25">
      <c r="A177" s="32" t="s">
        <v>8</v>
      </c>
      <c r="B177" s="21" t="s">
        <v>356</v>
      </c>
      <c r="C177">
        <v>260</v>
      </c>
      <c r="D177" s="64">
        <v>260</v>
      </c>
      <c r="E177" s="64">
        <v>260</v>
      </c>
      <c r="F177" s="64">
        <v>280</v>
      </c>
      <c r="G177" s="64">
        <v>300</v>
      </c>
      <c r="H177" s="64">
        <v>310</v>
      </c>
      <c r="I177" s="64">
        <v>300</v>
      </c>
      <c r="J177" s="64">
        <v>290</v>
      </c>
      <c r="K177" s="64">
        <v>280</v>
      </c>
      <c r="L177" s="64">
        <v>270</v>
      </c>
      <c r="M177" s="64">
        <v>260</v>
      </c>
    </row>
    <row r="178" spans="1:13" x14ac:dyDescent="0.25">
      <c r="A178" s="32" t="s">
        <v>115</v>
      </c>
      <c r="B178" s="21" t="s">
        <v>361</v>
      </c>
      <c r="C178">
        <v>10000</v>
      </c>
      <c r="D178" s="64">
        <v>11000</v>
      </c>
      <c r="E178" s="64">
        <v>12000</v>
      </c>
      <c r="F178" s="64">
        <v>12000</v>
      </c>
      <c r="G178" s="64">
        <v>12000</v>
      </c>
      <c r="H178" s="64">
        <v>12000</v>
      </c>
      <c r="I178" s="64">
        <v>12000</v>
      </c>
      <c r="J178" s="64">
        <v>12000</v>
      </c>
      <c r="K178" s="64">
        <v>13000</v>
      </c>
      <c r="L178" s="64">
        <v>13000</v>
      </c>
      <c r="M178" s="64">
        <v>14000</v>
      </c>
    </row>
    <row r="179" spans="1:13" x14ac:dyDescent="0.25">
      <c r="A179" s="32" t="s">
        <v>114</v>
      </c>
      <c r="B179" s="21" t="s">
        <v>356</v>
      </c>
      <c r="C179">
        <v>260000</v>
      </c>
      <c r="D179" s="64">
        <v>270000</v>
      </c>
      <c r="E179" s="64">
        <v>270000</v>
      </c>
      <c r="F179" s="64">
        <v>290000</v>
      </c>
      <c r="G179" s="64">
        <v>270000</v>
      </c>
      <c r="H179" s="64">
        <v>300000</v>
      </c>
      <c r="I179" s="64">
        <v>280000</v>
      </c>
      <c r="J179" s="64">
        <v>290000</v>
      </c>
      <c r="K179" s="64">
        <v>290000</v>
      </c>
      <c r="L179" s="64">
        <v>290000</v>
      </c>
      <c r="M179" s="64">
        <v>290000</v>
      </c>
    </row>
    <row r="180" spans="1:13" x14ac:dyDescent="0.25">
      <c r="A180" s="32" t="s">
        <v>107</v>
      </c>
      <c r="B180" s="21" t="s">
        <v>356</v>
      </c>
      <c r="C180">
        <v>34000</v>
      </c>
      <c r="D180" s="64">
        <v>34000</v>
      </c>
      <c r="E180" s="64">
        <v>33000</v>
      </c>
      <c r="F180" s="64">
        <v>32000</v>
      </c>
      <c r="G180" s="64">
        <v>32000</v>
      </c>
      <c r="H180" s="64">
        <v>31000</v>
      </c>
      <c r="I180" s="64">
        <v>29000</v>
      </c>
      <c r="J180" s="64">
        <v>28000</v>
      </c>
      <c r="K180" s="64">
        <v>26000</v>
      </c>
      <c r="L180" s="64">
        <v>23000</v>
      </c>
      <c r="M180" s="64">
        <v>20000</v>
      </c>
    </row>
    <row r="181" spans="1:13" x14ac:dyDescent="0.25">
      <c r="A181" s="32" t="s">
        <v>68</v>
      </c>
      <c r="B181" s="21" t="s">
        <v>356</v>
      </c>
      <c r="C181">
        <v>18000</v>
      </c>
      <c r="D181" s="64">
        <v>45000</v>
      </c>
      <c r="E181" s="64">
        <v>48000</v>
      </c>
      <c r="F181" s="64">
        <v>49000</v>
      </c>
      <c r="G181" s="64">
        <v>52000</v>
      </c>
      <c r="H181" s="64">
        <v>51000</v>
      </c>
      <c r="I181" s="64">
        <v>50000</v>
      </c>
      <c r="J181" s="64">
        <v>47000</v>
      </c>
      <c r="K181" s="64">
        <v>44000</v>
      </c>
      <c r="L181" s="64">
        <v>43000</v>
      </c>
      <c r="M181" s="64">
        <v>40000</v>
      </c>
    </row>
    <row r="182" spans="1:13" x14ac:dyDescent="0.25">
      <c r="A182" s="29" t="s">
        <v>67</v>
      </c>
      <c r="B182" s="28" t="s">
        <v>353</v>
      </c>
      <c r="C182">
        <v>32000</v>
      </c>
      <c r="D182" s="64">
        <v>41000</v>
      </c>
      <c r="E182" s="64">
        <v>45000</v>
      </c>
      <c r="F182" s="64">
        <v>49000</v>
      </c>
      <c r="G182" s="64">
        <v>52000</v>
      </c>
      <c r="H182" s="64">
        <v>54000</v>
      </c>
      <c r="I182" s="64">
        <v>55000</v>
      </c>
      <c r="J182" s="64">
        <v>55000</v>
      </c>
      <c r="K182" s="64">
        <v>56000</v>
      </c>
      <c r="L182" s="64">
        <v>60000</v>
      </c>
      <c r="M182" s="64">
        <v>54000</v>
      </c>
    </row>
    <row r="184" spans="1:13" x14ac:dyDescent="0.25">
      <c r="D184" s="64"/>
    </row>
  </sheetData>
  <autoFilter ref="A1:M183"/>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79"/>
  <sheetViews>
    <sheetView workbookViewId="0">
      <selection activeCell="K10" sqref="K10"/>
    </sheetView>
  </sheetViews>
  <sheetFormatPr defaultRowHeight="15" x14ac:dyDescent="0.25"/>
  <cols>
    <col min="1" max="2" width="9.140625" style="60"/>
    <col min="3" max="3" width="46.42578125" style="60" bestFit="1" customWidth="1"/>
    <col min="4" max="4" width="9.140625" style="114"/>
    <col min="5" max="5" width="11.140625" style="114" bestFit="1" customWidth="1"/>
    <col min="6" max="6" width="9.140625" style="114"/>
    <col min="7" max="7" width="20.42578125" style="60" bestFit="1" customWidth="1"/>
    <col min="8" max="9" width="9.140625" style="60"/>
    <col min="10" max="12" width="9.140625" style="83"/>
    <col min="13" max="13" width="9.140625" style="60"/>
  </cols>
  <sheetData>
    <row r="1" spans="1:13" ht="15.75" thickBot="1" x14ac:dyDescent="0.3">
      <c r="A1" s="63" t="s">
        <v>645</v>
      </c>
      <c r="B1" s="63" t="s">
        <v>644</v>
      </c>
      <c r="C1" s="63" t="s">
        <v>643</v>
      </c>
      <c r="D1" s="111" t="s">
        <v>642</v>
      </c>
      <c r="E1" s="111" t="s">
        <v>822</v>
      </c>
      <c r="F1" s="111" t="s">
        <v>641</v>
      </c>
      <c r="G1" s="60" t="s">
        <v>824</v>
      </c>
    </row>
    <row r="2" spans="1:13" ht="15.75" thickBot="1" x14ac:dyDescent="0.3">
      <c r="A2" s="62" t="s">
        <v>630</v>
      </c>
      <c r="B2" s="62" t="s">
        <v>570</v>
      </c>
      <c r="C2" s="62" t="s">
        <v>106</v>
      </c>
      <c r="D2" s="112">
        <v>1989</v>
      </c>
      <c r="E2" s="113">
        <v>85930084</v>
      </c>
      <c r="F2" s="112">
        <v>1609</v>
      </c>
      <c r="G2" s="21" t="s">
        <v>353</v>
      </c>
    </row>
    <row r="3" spans="1:13" ht="15.75" thickBot="1" x14ac:dyDescent="0.3">
      <c r="A3" s="62" t="s">
        <v>633</v>
      </c>
      <c r="B3" s="62" t="s">
        <v>569</v>
      </c>
      <c r="C3" s="62" t="s">
        <v>232</v>
      </c>
      <c r="D3" s="112">
        <v>10</v>
      </c>
      <c r="E3" s="113">
        <v>1688698</v>
      </c>
      <c r="F3" s="112"/>
      <c r="G3" s="21" t="s">
        <v>361</v>
      </c>
    </row>
    <row r="4" spans="1:13" ht="15.75" thickBot="1" x14ac:dyDescent="0.3">
      <c r="A4" s="62" t="s">
        <v>629</v>
      </c>
      <c r="B4" s="62" t="s">
        <v>568</v>
      </c>
      <c r="C4" s="62" t="s">
        <v>231</v>
      </c>
      <c r="D4" s="112">
        <v>103</v>
      </c>
      <c r="E4" s="112"/>
      <c r="F4" s="112">
        <v>1796</v>
      </c>
      <c r="G4" s="21" t="s">
        <v>361</v>
      </c>
      <c r="I4" s="60">
        <f>CORREL(E:E,D:D )</f>
        <v>0.12955328819302059</v>
      </c>
    </row>
    <row r="5" spans="1:13" ht="15.75" thickBot="1" x14ac:dyDescent="0.3">
      <c r="A5" s="62" t="s">
        <v>629</v>
      </c>
      <c r="B5" s="62" t="s">
        <v>567</v>
      </c>
      <c r="C5" s="62" t="s">
        <v>62</v>
      </c>
      <c r="D5" s="112">
        <v>1190</v>
      </c>
      <c r="E5" s="113">
        <v>47561989</v>
      </c>
      <c r="F5" s="112">
        <v>29069</v>
      </c>
      <c r="G5" s="21" t="s">
        <v>356</v>
      </c>
      <c r="I5" s="60">
        <f>CORREL(E:E,F:F )</f>
        <v>0.26010293982908589</v>
      </c>
      <c r="K5" s="83" t="s">
        <v>640</v>
      </c>
      <c r="L5" s="83">
        <v>1990</v>
      </c>
      <c r="M5" s="60">
        <v>2010</v>
      </c>
    </row>
    <row r="6" spans="1:13" ht="15.75" thickBot="1" x14ac:dyDescent="0.3">
      <c r="A6" s="62" t="s">
        <v>632</v>
      </c>
      <c r="B6" s="62" t="s">
        <v>566</v>
      </c>
      <c r="C6" s="62" t="s">
        <v>228</v>
      </c>
      <c r="D6" s="112">
        <v>17</v>
      </c>
      <c r="E6" s="112"/>
      <c r="F6" s="112">
        <v>1967</v>
      </c>
      <c r="G6" s="21" t="s">
        <v>361</v>
      </c>
      <c r="K6" s="83" t="s">
        <v>617</v>
      </c>
      <c r="L6" s="83">
        <v>291511</v>
      </c>
      <c r="M6" s="60">
        <v>168171</v>
      </c>
    </row>
    <row r="7" spans="1:13" ht="15.75" thickBot="1" x14ac:dyDescent="0.3">
      <c r="A7" s="62" t="s">
        <v>633</v>
      </c>
      <c r="B7" s="62" t="s">
        <v>565</v>
      </c>
      <c r="C7" s="62" t="s">
        <v>61</v>
      </c>
      <c r="D7" s="112">
        <v>2</v>
      </c>
      <c r="E7" s="113">
        <v>2100523</v>
      </c>
      <c r="F7" s="112">
        <v>879</v>
      </c>
      <c r="G7" s="21" t="s">
        <v>356</v>
      </c>
      <c r="K7" s="83" t="s">
        <v>616</v>
      </c>
      <c r="L7" s="83">
        <v>229659</v>
      </c>
      <c r="M7" s="60">
        <v>13589</v>
      </c>
    </row>
    <row r="8" spans="1:13" x14ac:dyDescent="0.25">
      <c r="A8" s="62" t="s">
        <v>631</v>
      </c>
      <c r="B8" s="62" t="s">
        <v>562</v>
      </c>
      <c r="C8" s="62" t="s">
        <v>227</v>
      </c>
      <c r="D8" s="112"/>
      <c r="E8" s="112"/>
      <c r="F8" s="112">
        <v>880</v>
      </c>
      <c r="G8" s="21" t="s">
        <v>366</v>
      </c>
      <c r="K8" s="83" t="s">
        <v>637</v>
      </c>
      <c r="L8" s="83">
        <v>409453</v>
      </c>
      <c r="M8" s="60">
        <v>102667</v>
      </c>
    </row>
    <row r="9" spans="1:13" ht="15.75" thickBot="1" x14ac:dyDescent="0.3">
      <c r="A9" s="62" t="s">
        <v>633</v>
      </c>
      <c r="B9" s="62" t="s">
        <v>561</v>
      </c>
      <c r="C9" s="62" t="s">
        <v>226</v>
      </c>
      <c r="D9" s="112">
        <v>52</v>
      </c>
      <c r="E9" s="112"/>
      <c r="F9" s="112"/>
      <c r="G9" s="21" t="s">
        <v>366</v>
      </c>
      <c r="K9" s="83" t="s">
        <v>615</v>
      </c>
      <c r="L9" s="83">
        <v>230406</v>
      </c>
      <c r="M9" s="60">
        <v>5224</v>
      </c>
    </row>
    <row r="10" spans="1:13" ht="15.75" thickBot="1" x14ac:dyDescent="0.3">
      <c r="A10" s="62" t="s">
        <v>633</v>
      </c>
      <c r="B10" s="62" t="s">
        <v>560</v>
      </c>
      <c r="C10" s="62" t="s">
        <v>224</v>
      </c>
      <c r="D10" s="112">
        <v>0</v>
      </c>
      <c r="E10" s="113">
        <v>3651857</v>
      </c>
      <c r="F10" s="112">
        <v>2026</v>
      </c>
      <c r="G10" s="21" t="s">
        <v>361</v>
      </c>
      <c r="K10" s="83" t="s">
        <v>639</v>
      </c>
      <c r="L10" s="83">
        <v>163558</v>
      </c>
      <c r="M10" s="60">
        <v>9283</v>
      </c>
    </row>
    <row r="11" spans="1:13" x14ac:dyDescent="0.25">
      <c r="A11" s="62" t="s">
        <v>632</v>
      </c>
      <c r="B11" s="62" t="s">
        <v>559</v>
      </c>
      <c r="C11" s="62" t="s">
        <v>223</v>
      </c>
      <c r="D11" s="112">
        <v>0</v>
      </c>
      <c r="E11" s="112"/>
      <c r="F11" s="112">
        <v>72</v>
      </c>
      <c r="G11" s="21" t="s">
        <v>366</v>
      </c>
    </row>
    <row r="12" spans="1:13" ht="15.75" thickBot="1" x14ac:dyDescent="0.3">
      <c r="A12" s="62" t="s">
        <v>630</v>
      </c>
      <c r="B12" s="62" t="s">
        <v>558</v>
      </c>
      <c r="C12" s="62" t="s">
        <v>222</v>
      </c>
      <c r="D12" s="112">
        <v>0</v>
      </c>
      <c r="E12" s="112"/>
      <c r="F12" s="112">
        <v>59</v>
      </c>
      <c r="G12" s="21" t="s">
        <v>366</v>
      </c>
    </row>
    <row r="13" spans="1:13" ht="15.75" thickBot="1" x14ac:dyDescent="0.3">
      <c r="A13" s="62" t="s">
        <v>635</v>
      </c>
      <c r="B13" s="62" t="s">
        <v>557</v>
      </c>
      <c r="C13" s="62" t="s">
        <v>105</v>
      </c>
      <c r="D13" s="112">
        <v>788</v>
      </c>
      <c r="E13" s="113">
        <v>154692539</v>
      </c>
      <c r="F13" s="112">
        <v>1705</v>
      </c>
      <c r="G13" s="21" t="s">
        <v>353</v>
      </c>
    </row>
    <row r="14" spans="1:13" x14ac:dyDescent="0.25">
      <c r="A14" s="62" t="s">
        <v>632</v>
      </c>
      <c r="B14" s="62" t="s">
        <v>556</v>
      </c>
      <c r="C14" s="62" t="s">
        <v>221</v>
      </c>
      <c r="D14" s="112">
        <v>0</v>
      </c>
      <c r="E14" s="112"/>
      <c r="F14" s="112">
        <v>51</v>
      </c>
      <c r="G14" s="21" t="s">
        <v>366</v>
      </c>
    </row>
    <row r="15" spans="1:13" x14ac:dyDescent="0.25">
      <c r="A15" s="62" t="s">
        <v>633</v>
      </c>
      <c r="B15" s="62" t="s">
        <v>555</v>
      </c>
      <c r="C15" s="62" t="s">
        <v>220</v>
      </c>
      <c r="D15" s="112">
        <v>1</v>
      </c>
      <c r="E15" s="112"/>
      <c r="F15" s="112">
        <v>224</v>
      </c>
      <c r="G15" s="21" t="s">
        <v>361</v>
      </c>
    </row>
    <row r="16" spans="1:13" x14ac:dyDescent="0.25">
      <c r="A16" s="62" t="s">
        <v>633</v>
      </c>
      <c r="B16" s="62" t="s">
        <v>554</v>
      </c>
      <c r="C16" s="62" t="s">
        <v>219</v>
      </c>
      <c r="D16" s="112">
        <v>40</v>
      </c>
      <c r="E16" s="112"/>
      <c r="F16" s="112"/>
      <c r="G16" s="21" t="s">
        <v>366</v>
      </c>
    </row>
    <row r="17" spans="1:7" ht="15.75" thickBot="1" x14ac:dyDescent="0.3">
      <c r="A17" s="62" t="s">
        <v>632</v>
      </c>
      <c r="B17" s="62" t="s">
        <v>553</v>
      </c>
      <c r="C17" s="62" t="s">
        <v>218</v>
      </c>
      <c r="D17" s="112">
        <v>0</v>
      </c>
      <c r="E17" s="112"/>
      <c r="F17" s="112">
        <v>25</v>
      </c>
      <c r="G17" s="21" t="s">
        <v>356</v>
      </c>
    </row>
    <row r="18" spans="1:7" ht="15.75" thickBot="1" x14ac:dyDescent="0.3">
      <c r="A18" s="62" t="s">
        <v>629</v>
      </c>
      <c r="B18" s="62" t="s">
        <v>552</v>
      </c>
      <c r="C18" s="62" t="s">
        <v>104</v>
      </c>
      <c r="D18" s="112">
        <v>392</v>
      </c>
      <c r="E18" s="113">
        <v>32434145</v>
      </c>
      <c r="F18" s="112"/>
      <c r="G18" s="21" t="s">
        <v>353</v>
      </c>
    </row>
    <row r="19" spans="1:7" ht="15.75" thickBot="1" x14ac:dyDescent="0.3">
      <c r="A19" s="62" t="s">
        <v>635</v>
      </c>
      <c r="B19" s="62" t="s">
        <v>551</v>
      </c>
      <c r="C19" s="62" t="s">
        <v>59</v>
      </c>
      <c r="D19" s="112">
        <v>97</v>
      </c>
      <c r="E19" s="113">
        <v>1031836</v>
      </c>
      <c r="F19" s="112">
        <v>173</v>
      </c>
      <c r="G19" s="21" t="s">
        <v>356</v>
      </c>
    </row>
    <row r="20" spans="1:7" ht="15.75" thickBot="1" x14ac:dyDescent="0.3">
      <c r="A20" s="62" t="s">
        <v>632</v>
      </c>
      <c r="B20" s="62" t="s">
        <v>550</v>
      </c>
      <c r="C20" s="62" t="s">
        <v>217</v>
      </c>
      <c r="D20" s="112">
        <v>0</v>
      </c>
      <c r="E20" s="113">
        <v>10136683</v>
      </c>
      <c r="F20" s="112">
        <v>820</v>
      </c>
      <c r="G20" s="21" t="s">
        <v>356</v>
      </c>
    </row>
    <row r="21" spans="1:7" ht="15.75" thickBot="1" x14ac:dyDescent="0.3">
      <c r="A21" s="62" t="s">
        <v>633</v>
      </c>
      <c r="B21" s="62" t="s">
        <v>549</v>
      </c>
      <c r="C21" s="62" t="s">
        <v>216</v>
      </c>
      <c r="D21" s="112">
        <v>45</v>
      </c>
      <c r="E21" s="113">
        <v>2144996</v>
      </c>
      <c r="F21" s="112">
        <v>512</v>
      </c>
      <c r="G21" s="21" t="s">
        <v>361</v>
      </c>
    </row>
    <row r="22" spans="1:7" x14ac:dyDescent="0.25">
      <c r="A22" s="62" t="s">
        <v>629</v>
      </c>
      <c r="B22" s="62" t="s">
        <v>548</v>
      </c>
      <c r="C22" s="62" t="s">
        <v>215</v>
      </c>
      <c r="D22" s="112">
        <v>853</v>
      </c>
      <c r="E22" s="112"/>
      <c r="F22" s="112">
        <v>1218</v>
      </c>
      <c r="G22" s="21" t="s">
        <v>361</v>
      </c>
    </row>
    <row r="23" spans="1:7" x14ac:dyDescent="0.25">
      <c r="A23" s="62" t="s">
        <v>632</v>
      </c>
      <c r="B23" s="62" t="s">
        <v>547</v>
      </c>
      <c r="C23" s="62" t="s">
        <v>213</v>
      </c>
      <c r="D23" s="112">
        <v>68</v>
      </c>
      <c r="E23" s="112"/>
      <c r="F23" s="112">
        <v>61435</v>
      </c>
      <c r="G23" s="21" t="s">
        <v>361</v>
      </c>
    </row>
    <row r="24" spans="1:7" x14ac:dyDescent="0.25">
      <c r="A24" s="62" t="s">
        <v>631</v>
      </c>
      <c r="B24" s="62" t="s">
        <v>546</v>
      </c>
      <c r="C24" s="62" t="s">
        <v>212</v>
      </c>
      <c r="D24" s="112">
        <v>0</v>
      </c>
      <c r="E24" s="112"/>
      <c r="F24" s="112">
        <v>12</v>
      </c>
      <c r="G24" s="21" t="s">
        <v>366</v>
      </c>
    </row>
    <row r="25" spans="1:7" x14ac:dyDescent="0.25">
      <c r="A25" s="62" t="s">
        <v>633</v>
      </c>
      <c r="B25" s="62" t="s">
        <v>545</v>
      </c>
      <c r="C25" s="62" t="s">
        <v>211</v>
      </c>
      <c r="D25" s="112"/>
      <c r="E25" s="112"/>
      <c r="F25" s="112">
        <v>147</v>
      </c>
      <c r="G25" s="21" t="s">
        <v>361</v>
      </c>
    </row>
    <row r="26" spans="1:7" ht="15.75" thickBot="1" x14ac:dyDescent="0.3">
      <c r="A26" s="62" t="s">
        <v>629</v>
      </c>
      <c r="B26" s="62" t="s">
        <v>544</v>
      </c>
      <c r="C26" s="62" t="s">
        <v>103</v>
      </c>
      <c r="D26" s="112">
        <v>2511</v>
      </c>
      <c r="E26" s="112"/>
      <c r="F26" s="112">
        <v>9804</v>
      </c>
      <c r="G26" s="21" t="s">
        <v>353</v>
      </c>
    </row>
    <row r="27" spans="1:7" ht="15.75" thickBot="1" x14ac:dyDescent="0.3">
      <c r="A27" s="62" t="s">
        <v>629</v>
      </c>
      <c r="B27" s="62" t="s">
        <v>543</v>
      </c>
      <c r="C27" s="62" t="s">
        <v>102</v>
      </c>
      <c r="D27" s="112">
        <v>495</v>
      </c>
      <c r="E27" s="113">
        <v>40452245</v>
      </c>
      <c r="F27" s="112">
        <v>13282</v>
      </c>
      <c r="G27" s="21" t="s">
        <v>353</v>
      </c>
    </row>
    <row r="28" spans="1:7" ht="15.75" thickBot="1" x14ac:dyDescent="0.3">
      <c r="A28" s="62" t="s">
        <v>631</v>
      </c>
      <c r="B28" s="62" t="s">
        <v>542</v>
      </c>
      <c r="C28" s="62" t="s">
        <v>101</v>
      </c>
      <c r="D28" s="112">
        <v>1156</v>
      </c>
      <c r="E28" s="113">
        <v>23980944</v>
      </c>
      <c r="F28" s="112">
        <v>2473</v>
      </c>
      <c r="G28" s="21" t="s">
        <v>353</v>
      </c>
    </row>
    <row r="29" spans="1:7" ht="15.75" thickBot="1" x14ac:dyDescent="0.3">
      <c r="A29" s="62" t="s">
        <v>629</v>
      </c>
      <c r="B29" s="62" t="s">
        <v>541</v>
      </c>
      <c r="C29" s="62" t="s">
        <v>57</v>
      </c>
      <c r="D29" s="112">
        <v>240</v>
      </c>
      <c r="E29" s="113">
        <v>56118051</v>
      </c>
      <c r="F29" s="112">
        <v>21150</v>
      </c>
      <c r="G29" s="21" t="s">
        <v>356</v>
      </c>
    </row>
    <row r="30" spans="1:7" x14ac:dyDescent="0.25">
      <c r="A30" s="62" t="s">
        <v>632</v>
      </c>
      <c r="B30" s="62" t="s">
        <v>540</v>
      </c>
      <c r="C30" s="62" t="s">
        <v>210</v>
      </c>
      <c r="D30" s="112">
        <v>99</v>
      </c>
      <c r="E30" s="112"/>
      <c r="F30" s="112">
        <v>1033</v>
      </c>
      <c r="G30" s="21" t="s">
        <v>366</v>
      </c>
    </row>
    <row r="31" spans="1:7" x14ac:dyDescent="0.25">
      <c r="A31" s="62" t="s">
        <v>629</v>
      </c>
      <c r="B31" s="62" t="s">
        <v>539</v>
      </c>
      <c r="C31" s="62" t="s">
        <v>56</v>
      </c>
      <c r="D31" s="112"/>
      <c r="E31" s="112"/>
      <c r="F31" s="112">
        <v>0</v>
      </c>
      <c r="G31" s="21" t="s">
        <v>356</v>
      </c>
    </row>
    <row r="32" spans="1:7" ht="15.75" thickBot="1" x14ac:dyDescent="0.3">
      <c r="A32" s="62" t="s">
        <v>629</v>
      </c>
      <c r="B32" s="62" t="s">
        <v>538</v>
      </c>
      <c r="C32" s="62" t="s">
        <v>100</v>
      </c>
      <c r="D32" s="112">
        <v>2</v>
      </c>
      <c r="E32" s="112"/>
      <c r="F32" s="112">
        <v>1275</v>
      </c>
      <c r="G32" s="21" t="s">
        <v>353</v>
      </c>
    </row>
    <row r="33" spans="1:7" ht="15.75" thickBot="1" x14ac:dyDescent="0.3">
      <c r="A33" s="62" t="s">
        <v>629</v>
      </c>
      <c r="B33" s="62" t="s">
        <v>537</v>
      </c>
      <c r="C33" s="62" t="s">
        <v>99</v>
      </c>
      <c r="D33" s="112">
        <v>194</v>
      </c>
      <c r="E33" s="113">
        <v>17556940</v>
      </c>
      <c r="F33" s="112">
        <v>7226</v>
      </c>
      <c r="G33" s="21" t="s">
        <v>353</v>
      </c>
    </row>
    <row r="34" spans="1:7" ht="15.75" thickBot="1" x14ac:dyDescent="0.3">
      <c r="A34" s="62" t="s">
        <v>632</v>
      </c>
      <c r="B34" s="62" t="s">
        <v>535</v>
      </c>
      <c r="C34" s="62" t="s">
        <v>209</v>
      </c>
      <c r="D34" s="112"/>
      <c r="E34" s="112"/>
      <c r="F34" s="112">
        <v>1958</v>
      </c>
      <c r="G34" s="21" t="s">
        <v>361</v>
      </c>
    </row>
    <row r="35" spans="1:7" ht="15.75" thickBot="1" x14ac:dyDescent="0.3">
      <c r="A35" s="62" t="s">
        <v>631</v>
      </c>
      <c r="B35" s="62" t="s">
        <v>534</v>
      </c>
      <c r="C35" s="62" t="s">
        <v>55</v>
      </c>
      <c r="D35" s="112">
        <v>38159</v>
      </c>
      <c r="E35" s="113">
        <v>38679133</v>
      </c>
      <c r="F35" s="112">
        <v>85705</v>
      </c>
      <c r="G35" s="21" t="s">
        <v>823</v>
      </c>
    </row>
    <row r="36" spans="1:7" ht="15.75" thickBot="1" x14ac:dyDescent="0.3">
      <c r="A36" s="62" t="s">
        <v>632</v>
      </c>
      <c r="B36" s="62" t="s">
        <v>529</v>
      </c>
      <c r="C36" s="62" t="s">
        <v>208</v>
      </c>
      <c r="D36" s="112">
        <v>0</v>
      </c>
      <c r="E36" s="112"/>
      <c r="F36" s="112">
        <v>12520</v>
      </c>
      <c r="G36" s="21" t="s">
        <v>361</v>
      </c>
    </row>
    <row r="37" spans="1:7" ht="15.75" thickBot="1" x14ac:dyDescent="0.3">
      <c r="A37" s="62" t="s">
        <v>629</v>
      </c>
      <c r="B37" s="62" t="s">
        <v>528</v>
      </c>
      <c r="C37" s="62" t="s">
        <v>98</v>
      </c>
      <c r="D37" s="112">
        <v>0</v>
      </c>
      <c r="E37" s="113">
        <v>1035863</v>
      </c>
      <c r="F37" s="112">
        <v>2328</v>
      </c>
      <c r="G37" s="21" t="s">
        <v>353</v>
      </c>
    </row>
    <row r="38" spans="1:7" ht="15.75" thickBot="1" x14ac:dyDescent="0.3">
      <c r="A38" s="62" t="s">
        <v>629</v>
      </c>
      <c r="B38" s="62" t="s">
        <v>527</v>
      </c>
      <c r="C38" s="62" t="s">
        <v>207</v>
      </c>
      <c r="D38" s="112">
        <v>4</v>
      </c>
      <c r="E38" s="113">
        <v>8245574</v>
      </c>
      <c r="F38" s="112">
        <v>3608</v>
      </c>
      <c r="G38" s="21" t="s">
        <v>356</v>
      </c>
    </row>
    <row r="39" spans="1:7" ht="15.75" thickBot="1" x14ac:dyDescent="0.3">
      <c r="A39" s="62" t="s">
        <v>632</v>
      </c>
      <c r="B39" s="62" t="s">
        <v>526</v>
      </c>
      <c r="C39" s="62" t="s">
        <v>205</v>
      </c>
      <c r="D39" s="112">
        <v>0</v>
      </c>
      <c r="E39" s="112"/>
      <c r="F39" s="112">
        <v>76</v>
      </c>
      <c r="G39" s="21" t="s">
        <v>361</v>
      </c>
    </row>
    <row r="40" spans="1:7" ht="15.75" thickBot="1" x14ac:dyDescent="0.3">
      <c r="A40" s="62" t="s">
        <v>629</v>
      </c>
      <c r="B40" s="62" t="s">
        <v>525</v>
      </c>
      <c r="C40" s="62" t="s">
        <v>53</v>
      </c>
      <c r="D40" s="112">
        <v>441</v>
      </c>
      <c r="E40" s="113">
        <v>33959340</v>
      </c>
      <c r="F40" s="112">
        <v>17799</v>
      </c>
      <c r="G40" s="21" t="s">
        <v>356</v>
      </c>
    </row>
    <row r="41" spans="1:7" ht="15.75" thickBot="1" x14ac:dyDescent="0.3">
      <c r="A41" s="62" t="s">
        <v>633</v>
      </c>
      <c r="B41" s="62" t="s">
        <v>524</v>
      </c>
      <c r="C41" s="62" t="s">
        <v>203</v>
      </c>
      <c r="D41" s="112">
        <v>7</v>
      </c>
      <c r="E41" s="112"/>
      <c r="F41" s="112">
        <v>119</v>
      </c>
      <c r="G41" s="21" t="s">
        <v>366</v>
      </c>
    </row>
    <row r="42" spans="1:7" ht="15.75" thickBot="1" x14ac:dyDescent="0.3">
      <c r="A42" s="62" t="s">
        <v>632</v>
      </c>
      <c r="B42" s="62" t="s">
        <v>523</v>
      </c>
      <c r="C42" s="62" t="s">
        <v>202</v>
      </c>
      <c r="D42" s="112">
        <v>0</v>
      </c>
      <c r="E42" s="113">
        <v>360000</v>
      </c>
      <c r="F42" s="112">
        <v>12</v>
      </c>
      <c r="G42" s="21" t="s">
        <v>361</v>
      </c>
    </row>
    <row r="43" spans="1:7" x14ac:dyDescent="0.25">
      <c r="A43" s="62" t="s">
        <v>633</v>
      </c>
      <c r="B43" s="62" t="s">
        <v>522</v>
      </c>
      <c r="C43" s="62" t="s">
        <v>201</v>
      </c>
      <c r="D43" s="112">
        <v>18</v>
      </c>
      <c r="E43" s="112"/>
      <c r="F43" s="112">
        <v>4</v>
      </c>
      <c r="G43" s="21" t="s">
        <v>366</v>
      </c>
    </row>
    <row r="44" spans="1:7" ht="15.75" thickBot="1" x14ac:dyDescent="0.3">
      <c r="A44" s="62" t="s">
        <v>633</v>
      </c>
      <c r="B44" s="62" t="s">
        <v>521</v>
      </c>
      <c r="C44" s="62" t="s">
        <v>200</v>
      </c>
      <c r="D44" s="112">
        <v>0</v>
      </c>
      <c r="E44" s="112"/>
      <c r="F44" s="112">
        <v>2420</v>
      </c>
      <c r="G44" s="21" t="s">
        <v>366</v>
      </c>
    </row>
    <row r="45" spans="1:7" ht="15.75" thickBot="1" x14ac:dyDescent="0.3">
      <c r="A45" s="62" t="s">
        <v>635</v>
      </c>
      <c r="B45" s="62" t="s">
        <v>519</v>
      </c>
      <c r="C45" s="62" t="s">
        <v>199</v>
      </c>
      <c r="D45" s="112"/>
      <c r="E45" s="113">
        <v>13922059</v>
      </c>
      <c r="F45" s="112">
        <v>0</v>
      </c>
      <c r="G45" s="21" t="s">
        <v>353</v>
      </c>
    </row>
    <row r="46" spans="1:7" ht="15.75" thickBot="1" x14ac:dyDescent="0.3">
      <c r="A46" s="62" t="s">
        <v>629</v>
      </c>
      <c r="B46" s="62" t="s">
        <v>518</v>
      </c>
      <c r="C46" s="62" t="s">
        <v>198</v>
      </c>
      <c r="D46" s="112">
        <v>5407</v>
      </c>
      <c r="E46" s="113">
        <v>195838074</v>
      </c>
      <c r="F46" s="112">
        <v>4564</v>
      </c>
      <c r="G46" s="21" t="s">
        <v>353</v>
      </c>
    </row>
    <row r="47" spans="1:7" ht="15.75" thickBot="1" x14ac:dyDescent="0.3">
      <c r="A47" s="62" t="s">
        <v>633</v>
      </c>
      <c r="B47" s="62" t="s">
        <v>517</v>
      </c>
      <c r="C47" s="62" t="s">
        <v>197</v>
      </c>
      <c r="D47" s="112">
        <v>5</v>
      </c>
      <c r="E47" s="112"/>
      <c r="F47" s="112">
        <v>180</v>
      </c>
      <c r="G47" s="21" t="s">
        <v>366</v>
      </c>
    </row>
    <row r="48" spans="1:7" ht="15.75" thickBot="1" x14ac:dyDescent="0.3">
      <c r="A48" s="62" t="s">
        <v>630</v>
      </c>
      <c r="B48" s="62" t="s">
        <v>516</v>
      </c>
      <c r="C48" s="62" t="s">
        <v>52</v>
      </c>
      <c r="D48" s="112">
        <v>7</v>
      </c>
      <c r="E48" s="113">
        <v>1099197</v>
      </c>
      <c r="F48" s="112">
        <v>104</v>
      </c>
      <c r="G48" s="21" t="s">
        <v>356</v>
      </c>
    </row>
    <row r="49" spans="1:7" x14ac:dyDescent="0.25">
      <c r="A49" s="62" t="s">
        <v>632</v>
      </c>
      <c r="B49" s="62" t="s">
        <v>515</v>
      </c>
      <c r="C49" s="62" t="s">
        <v>195</v>
      </c>
      <c r="D49" s="112">
        <v>0</v>
      </c>
      <c r="E49" s="112"/>
      <c r="F49" s="112">
        <v>3477</v>
      </c>
      <c r="G49" s="21" t="s">
        <v>361</v>
      </c>
    </row>
    <row r="50" spans="1:7" x14ac:dyDescent="0.25">
      <c r="A50" s="62" t="s">
        <v>632</v>
      </c>
      <c r="B50" s="62" t="s">
        <v>514</v>
      </c>
      <c r="C50" s="62" t="s">
        <v>51</v>
      </c>
      <c r="D50" s="112">
        <v>0</v>
      </c>
      <c r="E50" s="112"/>
      <c r="F50" s="112">
        <v>1646</v>
      </c>
      <c r="G50" s="21" t="s">
        <v>361</v>
      </c>
    </row>
    <row r="51" spans="1:7" x14ac:dyDescent="0.25">
      <c r="A51" s="62" t="s">
        <v>630</v>
      </c>
      <c r="B51" s="62" t="s">
        <v>513</v>
      </c>
      <c r="C51" s="62" t="s">
        <v>194</v>
      </c>
      <c r="D51" s="112">
        <v>461</v>
      </c>
      <c r="E51" s="112"/>
      <c r="F51" s="112">
        <v>887</v>
      </c>
      <c r="G51" s="21" t="s">
        <v>356</v>
      </c>
    </row>
    <row r="52" spans="1:7" x14ac:dyDescent="0.25">
      <c r="A52" s="62" t="s">
        <v>632</v>
      </c>
      <c r="B52" s="62" t="s">
        <v>512</v>
      </c>
      <c r="C52" s="62" t="s">
        <v>49</v>
      </c>
      <c r="D52" s="112">
        <v>0</v>
      </c>
      <c r="E52" s="112"/>
      <c r="F52" s="112">
        <v>0</v>
      </c>
      <c r="G52" s="21" t="s">
        <v>356</v>
      </c>
    </row>
    <row r="53" spans="1:7" ht="15.75" thickBot="1" x14ac:dyDescent="0.3">
      <c r="A53" s="62" t="s">
        <v>629</v>
      </c>
      <c r="B53" s="62" t="s">
        <v>511</v>
      </c>
      <c r="C53" s="62" t="s">
        <v>193</v>
      </c>
      <c r="D53" s="112">
        <v>0</v>
      </c>
      <c r="E53" s="112"/>
      <c r="F53" s="112">
        <v>32</v>
      </c>
      <c r="G53" s="21" t="s">
        <v>366</v>
      </c>
    </row>
    <row r="54" spans="1:7" ht="15.75" thickBot="1" x14ac:dyDescent="0.3">
      <c r="A54" s="62" t="s">
        <v>629</v>
      </c>
      <c r="B54" s="62" t="s">
        <v>510</v>
      </c>
      <c r="C54" s="62" t="s">
        <v>96</v>
      </c>
      <c r="D54" s="112">
        <v>51</v>
      </c>
      <c r="E54" s="113">
        <v>7223930</v>
      </c>
      <c r="F54" s="112"/>
      <c r="G54" s="21" t="s">
        <v>353</v>
      </c>
    </row>
    <row r="55" spans="1:7" ht="15.75" thickBot="1" x14ac:dyDescent="0.3">
      <c r="A55" s="62" t="s">
        <v>633</v>
      </c>
      <c r="B55" s="62" t="s">
        <v>509</v>
      </c>
      <c r="C55" s="62" t="s">
        <v>192</v>
      </c>
      <c r="D55" s="112">
        <v>0</v>
      </c>
      <c r="E55" s="112"/>
      <c r="F55" s="112">
        <v>33</v>
      </c>
      <c r="G55" s="21" t="s">
        <v>366</v>
      </c>
    </row>
    <row r="56" spans="1:7" ht="15.75" thickBot="1" x14ac:dyDescent="0.3">
      <c r="A56" s="62" t="s">
        <v>629</v>
      </c>
      <c r="B56" s="62" t="s">
        <v>508</v>
      </c>
      <c r="C56" s="62" t="s">
        <v>95</v>
      </c>
      <c r="D56" s="112">
        <v>4235</v>
      </c>
      <c r="E56" s="113">
        <v>227169213</v>
      </c>
      <c r="F56" s="112">
        <v>1836</v>
      </c>
      <c r="G56" s="21" t="s">
        <v>353</v>
      </c>
    </row>
    <row r="57" spans="1:7" x14ac:dyDescent="0.25">
      <c r="A57" s="62" t="s">
        <v>631</v>
      </c>
      <c r="B57" s="62" t="s">
        <v>507</v>
      </c>
      <c r="C57" s="62" t="s">
        <v>191</v>
      </c>
      <c r="D57" s="112"/>
      <c r="E57" s="112"/>
      <c r="F57" s="112">
        <v>32</v>
      </c>
      <c r="G57" s="21" t="s">
        <v>356</v>
      </c>
    </row>
    <row r="58" spans="1:7" x14ac:dyDescent="0.25">
      <c r="A58" s="62" t="s">
        <v>633</v>
      </c>
      <c r="B58" s="62" t="s">
        <v>506</v>
      </c>
      <c r="C58" s="62" t="s">
        <v>190</v>
      </c>
      <c r="D58" s="112">
        <v>5</v>
      </c>
      <c r="E58" s="112"/>
      <c r="F58" s="112">
        <v>3</v>
      </c>
      <c r="G58" s="21" t="s">
        <v>366</v>
      </c>
    </row>
    <row r="59" spans="1:7" x14ac:dyDescent="0.25">
      <c r="A59" s="62" t="s">
        <v>633</v>
      </c>
      <c r="B59" s="62" t="s">
        <v>505</v>
      </c>
      <c r="C59" s="62" t="s">
        <v>189</v>
      </c>
      <c r="D59" s="112">
        <v>5048</v>
      </c>
      <c r="E59" s="112"/>
      <c r="F59" s="112"/>
      <c r="G59" s="21" t="s">
        <v>366</v>
      </c>
    </row>
    <row r="60" spans="1:7" ht="15.75" thickBot="1" x14ac:dyDescent="0.3">
      <c r="A60" s="62" t="s">
        <v>629</v>
      </c>
      <c r="B60" s="62" t="s">
        <v>500</v>
      </c>
      <c r="C60" s="62" t="s">
        <v>188</v>
      </c>
      <c r="D60" s="112">
        <v>1</v>
      </c>
      <c r="E60" s="112"/>
      <c r="F60" s="112">
        <v>738</v>
      </c>
      <c r="G60" s="21" t="s">
        <v>361</v>
      </c>
    </row>
    <row r="61" spans="1:7" ht="15.75" thickBot="1" x14ac:dyDescent="0.3">
      <c r="A61" s="62" t="s">
        <v>629</v>
      </c>
      <c r="B61" s="62" t="s">
        <v>499</v>
      </c>
      <c r="C61" s="62" t="s">
        <v>187</v>
      </c>
      <c r="D61" s="112">
        <v>2</v>
      </c>
      <c r="E61" s="113">
        <v>8711803</v>
      </c>
      <c r="F61" s="112"/>
      <c r="G61" s="21" t="s">
        <v>353</v>
      </c>
    </row>
    <row r="62" spans="1:7" ht="15.75" thickBot="1" x14ac:dyDescent="0.3">
      <c r="A62" s="62" t="s">
        <v>633</v>
      </c>
      <c r="B62" s="62" t="s">
        <v>498</v>
      </c>
      <c r="C62" s="62" t="s">
        <v>48</v>
      </c>
      <c r="D62" s="112">
        <v>22</v>
      </c>
      <c r="E62" s="113">
        <v>1743329</v>
      </c>
      <c r="F62" s="112"/>
      <c r="G62" s="21" t="s">
        <v>356</v>
      </c>
    </row>
    <row r="63" spans="1:7" ht="15.75" thickBot="1" x14ac:dyDescent="0.3">
      <c r="A63" s="62" t="s">
        <v>633</v>
      </c>
      <c r="B63" s="62" t="s">
        <v>497</v>
      </c>
      <c r="C63" s="62" t="s">
        <v>186</v>
      </c>
      <c r="D63" s="112">
        <v>780</v>
      </c>
      <c r="E63" s="112"/>
      <c r="F63" s="112"/>
      <c r="G63" s="21" t="s">
        <v>366</v>
      </c>
    </row>
    <row r="64" spans="1:7" ht="15.75" thickBot="1" x14ac:dyDescent="0.3">
      <c r="A64" s="62" t="s">
        <v>629</v>
      </c>
      <c r="B64" s="62" t="s">
        <v>496</v>
      </c>
      <c r="C64" s="62" t="s">
        <v>93</v>
      </c>
      <c r="D64" s="112">
        <v>641</v>
      </c>
      <c r="E64" s="113">
        <v>81287643</v>
      </c>
      <c r="F64" s="112">
        <v>32246</v>
      </c>
      <c r="G64" s="21" t="s">
        <v>356</v>
      </c>
    </row>
    <row r="65" spans="1:7" x14ac:dyDescent="0.25">
      <c r="A65" s="62" t="s">
        <v>633</v>
      </c>
      <c r="B65" s="62" t="s">
        <v>495</v>
      </c>
      <c r="C65" s="62" t="s">
        <v>185</v>
      </c>
      <c r="D65" s="112">
        <v>149</v>
      </c>
      <c r="E65" s="112"/>
      <c r="F65" s="112">
        <v>245</v>
      </c>
      <c r="G65" s="21" t="s">
        <v>366</v>
      </c>
    </row>
    <row r="66" spans="1:7" x14ac:dyDescent="0.25">
      <c r="A66" s="62" t="s">
        <v>632</v>
      </c>
      <c r="B66" s="62" t="s">
        <v>494</v>
      </c>
      <c r="C66" s="62" t="s">
        <v>184</v>
      </c>
      <c r="D66" s="112">
        <v>0</v>
      </c>
      <c r="E66" s="112"/>
      <c r="F66" s="112">
        <v>6</v>
      </c>
      <c r="G66" s="21" t="s">
        <v>361</v>
      </c>
    </row>
    <row r="67" spans="1:7" ht="15.75" thickBot="1" x14ac:dyDescent="0.3">
      <c r="A67" s="62" t="s">
        <v>632</v>
      </c>
      <c r="B67" s="62" t="s">
        <v>489</v>
      </c>
      <c r="C67" s="62" t="s">
        <v>47</v>
      </c>
      <c r="D67" s="112">
        <v>0</v>
      </c>
      <c r="E67" s="112"/>
      <c r="F67" s="112">
        <v>8802</v>
      </c>
      <c r="G67" s="21" t="s">
        <v>356</v>
      </c>
    </row>
    <row r="68" spans="1:7" ht="15.75" thickBot="1" x14ac:dyDescent="0.3">
      <c r="A68" s="62" t="s">
        <v>629</v>
      </c>
      <c r="B68" s="62" t="s">
        <v>488</v>
      </c>
      <c r="C68" s="62" t="s">
        <v>92</v>
      </c>
      <c r="D68" s="112">
        <v>45</v>
      </c>
      <c r="E68" s="113">
        <v>15785789</v>
      </c>
      <c r="F68" s="112">
        <v>12756</v>
      </c>
      <c r="G68" s="21" t="s">
        <v>353</v>
      </c>
    </row>
    <row r="69" spans="1:7" ht="15.75" thickBot="1" x14ac:dyDescent="0.3">
      <c r="A69" s="62" t="s">
        <v>629</v>
      </c>
      <c r="B69" s="62" t="s">
        <v>487</v>
      </c>
      <c r="C69" s="62" t="s">
        <v>183</v>
      </c>
      <c r="D69" s="112">
        <v>26</v>
      </c>
      <c r="E69" s="113">
        <v>3383882</v>
      </c>
      <c r="F69" s="112">
        <v>259</v>
      </c>
      <c r="G69" s="21" t="s">
        <v>353</v>
      </c>
    </row>
    <row r="70" spans="1:7" ht="15.75" thickBot="1" x14ac:dyDescent="0.3">
      <c r="A70" s="62" t="s">
        <v>632</v>
      </c>
      <c r="B70" s="62" t="s">
        <v>486</v>
      </c>
      <c r="C70" s="62" t="s">
        <v>46</v>
      </c>
      <c r="D70" s="112">
        <v>0</v>
      </c>
      <c r="E70" s="112"/>
      <c r="F70" s="112">
        <v>1</v>
      </c>
      <c r="G70" s="21" t="s">
        <v>356</v>
      </c>
    </row>
    <row r="71" spans="1:7" ht="15.75" thickBot="1" x14ac:dyDescent="0.3">
      <c r="A71" s="62" t="s">
        <v>632</v>
      </c>
      <c r="B71" s="62" t="s">
        <v>485</v>
      </c>
      <c r="C71" s="62" t="s">
        <v>90</v>
      </c>
      <c r="D71" s="112">
        <v>24</v>
      </c>
      <c r="E71" s="113">
        <v>1653500</v>
      </c>
      <c r="F71" s="112">
        <v>1414</v>
      </c>
      <c r="G71" s="21" t="s">
        <v>353</v>
      </c>
    </row>
    <row r="72" spans="1:7" ht="15.75" thickBot="1" x14ac:dyDescent="0.3">
      <c r="A72" s="62" t="s">
        <v>632</v>
      </c>
      <c r="B72" s="62" t="s">
        <v>484</v>
      </c>
      <c r="C72" s="62" t="s">
        <v>45</v>
      </c>
      <c r="D72" s="112">
        <v>0</v>
      </c>
      <c r="E72" s="113">
        <v>14086925</v>
      </c>
      <c r="F72" s="112">
        <v>8360</v>
      </c>
      <c r="G72" s="21" t="s">
        <v>356</v>
      </c>
    </row>
    <row r="73" spans="1:7" x14ac:dyDescent="0.25">
      <c r="A73" s="62" t="s">
        <v>633</v>
      </c>
      <c r="B73" s="62" t="s">
        <v>483</v>
      </c>
      <c r="C73" s="62" t="s">
        <v>182</v>
      </c>
      <c r="D73" s="112">
        <v>0</v>
      </c>
      <c r="E73" s="112"/>
      <c r="F73" s="112">
        <v>29</v>
      </c>
      <c r="G73" s="21" t="s">
        <v>366</v>
      </c>
    </row>
    <row r="74" spans="1:7" ht="15.75" thickBot="1" x14ac:dyDescent="0.3">
      <c r="A74" s="62" t="s">
        <v>633</v>
      </c>
      <c r="B74" s="62" t="s">
        <v>482</v>
      </c>
      <c r="C74" s="62" t="s">
        <v>181</v>
      </c>
      <c r="D74" s="112">
        <v>0</v>
      </c>
      <c r="E74" s="112"/>
      <c r="F74" s="112">
        <v>14</v>
      </c>
      <c r="G74" s="21" t="s">
        <v>366</v>
      </c>
    </row>
    <row r="75" spans="1:7" ht="15.75" thickBot="1" x14ac:dyDescent="0.3">
      <c r="A75" s="62" t="s">
        <v>635</v>
      </c>
      <c r="B75" s="62" t="s">
        <v>481</v>
      </c>
      <c r="C75" s="62" t="s">
        <v>44</v>
      </c>
      <c r="D75" s="112">
        <v>29760</v>
      </c>
      <c r="E75" s="113">
        <v>46113522</v>
      </c>
      <c r="F75" s="112">
        <v>89612</v>
      </c>
      <c r="G75" s="21" t="s">
        <v>823</v>
      </c>
    </row>
    <row r="76" spans="1:7" ht="15.75" thickBot="1" x14ac:dyDescent="0.3">
      <c r="A76" s="62" t="s">
        <v>635</v>
      </c>
      <c r="B76" s="62" t="s">
        <v>480</v>
      </c>
      <c r="C76" s="62" t="s">
        <v>43</v>
      </c>
      <c r="D76" s="112">
        <v>16529</v>
      </c>
      <c r="E76" s="113">
        <v>49435344</v>
      </c>
      <c r="F76" s="112">
        <v>92105</v>
      </c>
      <c r="G76" s="21" t="s">
        <v>823</v>
      </c>
    </row>
    <row r="77" spans="1:7" x14ac:dyDescent="0.25">
      <c r="A77" s="62" t="s">
        <v>630</v>
      </c>
      <c r="B77" s="62" t="s">
        <v>479</v>
      </c>
      <c r="C77" s="62" t="s">
        <v>180</v>
      </c>
      <c r="D77" s="112">
        <v>538</v>
      </c>
      <c r="E77" s="112"/>
      <c r="F77" s="112">
        <v>5341</v>
      </c>
      <c r="G77" s="21" t="s">
        <v>361</v>
      </c>
    </row>
    <row r="78" spans="1:7" x14ac:dyDescent="0.25">
      <c r="A78" s="62" t="s">
        <v>630</v>
      </c>
      <c r="B78" s="62" t="s">
        <v>478</v>
      </c>
      <c r="C78" s="62" t="s">
        <v>42</v>
      </c>
      <c r="D78" s="112">
        <v>492</v>
      </c>
      <c r="E78" s="112"/>
      <c r="F78" s="112">
        <v>3045</v>
      </c>
      <c r="G78" s="21" t="s">
        <v>356</v>
      </c>
    </row>
    <row r="79" spans="1:7" x14ac:dyDescent="0.25">
      <c r="A79" s="62" t="s">
        <v>633</v>
      </c>
      <c r="B79" s="62" t="s">
        <v>477</v>
      </c>
      <c r="C79" s="62" t="s">
        <v>179</v>
      </c>
      <c r="D79" s="112">
        <v>443</v>
      </c>
      <c r="E79" s="112"/>
      <c r="F79" s="112">
        <v>556</v>
      </c>
      <c r="G79" s="21" t="s">
        <v>366</v>
      </c>
    </row>
    <row r="80" spans="1:7" x14ac:dyDescent="0.25">
      <c r="A80" s="62" t="s">
        <v>633</v>
      </c>
      <c r="B80" s="62" t="s">
        <v>476</v>
      </c>
      <c r="C80" s="62" t="s">
        <v>178</v>
      </c>
      <c r="D80" s="112">
        <v>23</v>
      </c>
      <c r="E80" s="112"/>
      <c r="F80" s="112">
        <v>230</v>
      </c>
      <c r="G80" s="21" t="s">
        <v>366</v>
      </c>
    </row>
    <row r="81" spans="1:7" x14ac:dyDescent="0.25">
      <c r="A81" s="62" t="s">
        <v>633</v>
      </c>
      <c r="B81" s="62" t="s">
        <v>475</v>
      </c>
      <c r="C81" s="62" t="s">
        <v>177</v>
      </c>
      <c r="D81" s="112">
        <v>372</v>
      </c>
      <c r="E81" s="112"/>
      <c r="F81" s="112">
        <v>5223</v>
      </c>
      <c r="G81" s="21" t="s">
        <v>366</v>
      </c>
    </row>
    <row r="82" spans="1:7" x14ac:dyDescent="0.25">
      <c r="A82" s="62" t="s">
        <v>632</v>
      </c>
      <c r="B82" s="62" t="s">
        <v>474</v>
      </c>
      <c r="C82" s="62" t="s">
        <v>176</v>
      </c>
      <c r="D82" s="112">
        <v>0</v>
      </c>
      <c r="E82" s="112"/>
      <c r="F82" s="112">
        <v>3651</v>
      </c>
      <c r="G82" s="21" t="s">
        <v>361</v>
      </c>
    </row>
    <row r="83" spans="1:7" x14ac:dyDescent="0.25">
      <c r="A83" s="62" t="s">
        <v>631</v>
      </c>
      <c r="B83" s="62" t="s">
        <v>473</v>
      </c>
      <c r="C83" s="62" t="s">
        <v>175</v>
      </c>
      <c r="D83" s="112">
        <v>450</v>
      </c>
      <c r="E83" s="112"/>
      <c r="F83" s="112">
        <v>3259</v>
      </c>
      <c r="G83" s="21" t="s">
        <v>366</v>
      </c>
    </row>
    <row r="84" spans="1:7" x14ac:dyDescent="0.25">
      <c r="A84" s="62" t="s">
        <v>630</v>
      </c>
      <c r="B84" s="62" t="s">
        <v>472</v>
      </c>
      <c r="C84" s="62" t="s">
        <v>41</v>
      </c>
      <c r="D84" s="112">
        <v>0</v>
      </c>
      <c r="E84" s="112"/>
      <c r="F84" s="112">
        <v>290</v>
      </c>
      <c r="G84" s="21" t="s">
        <v>361</v>
      </c>
    </row>
    <row r="85" spans="1:7" ht="15.75" thickBot="1" x14ac:dyDescent="0.3">
      <c r="A85" s="62" t="s">
        <v>633</v>
      </c>
      <c r="B85" s="62" t="s">
        <v>471</v>
      </c>
      <c r="C85" s="62" t="s">
        <v>174</v>
      </c>
      <c r="D85" s="112">
        <v>4</v>
      </c>
      <c r="E85" s="112"/>
      <c r="F85" s="112">
        <v>273</v>
      </c>
      <c r="G85" s="21" t="s">
        <v>361</v>
      </c>
    </row>
    <row r="86" spans="1:7" ht="15.75" thickBot="1" x14ac:dyDescent="0.3">
      <c r="A86" s="62" t="s">
        <v>629</v>
      </c>
      <c r="B86" s="62" t="s">
        <v>470</v>
      </c>
      <c r="C86" s="62" t="s">
        <v>89</v>
      </c>
      <c r="D86" s="112">
        <v>95</v>
      </c>
      <c r="E86" s="113">
        <v>172527513</v>
      </c>
      <c r="F86" s="112">
        <v>77072</v>
      </c>
      <c r="G86" s="21" t="s">
        <v>353</v>
      </c>
    </row>
    <row r="87" spans="1:7" ht="15.75" thickBot="1" x14ac:dyDescent="0.3">
      <c r="A87" s="62" t="s">
        <v>630</v>
      </c>
      <c r="B87" s="62" t="s">
        <v>469</v>
      </c>
      <c r="C87" s="62" t="s">
        <v>173</v>
      </c>
      <c r="D87" s="112">
        <v>13</v>
      </c>
      <c r="E87" s="112"/>
      <c r="F87" s="112">
        <v>71</v>
      </c>
      <c r="G87" s="21" t="s">
        <v>366</v>
      </c>
    </row>
    <row r="88" spans="1:7" ht="15.75" thickBot="1" x14ac:dyDescent="0.3">
      <c r="A88" s="62" t="s">
        <v>633</v>
      </c>
      <c r="B88" s="62" t="s">
        <v>468</v>
      </c>
      <c r="C88" s="62" t="s">
        <v>172</v>
      </c>
      <c r="D88" s="112">
        <v>0</v>
      </c>
      <c r="E88" s="113">
        <v>6420477</v>
      </c>
      <c r="F88" s="112">
        <v>584</v>
      </c>
      <c r="G88" s="21" t="s">
        <v>353</v>
      </c>
    </row>
    <row r="89" spans="1:7" ht="15.75" thickBot="1" x14ac:dyDescent="0.3">
      <c r="A89" s="62" t="s">
        <v>631</v>
      </c>
      <c r="B89" s="62" t="s">
        <v>467</v>
      </c>
      <c r="C89" s="62" t="s">
        <v>171</v>
      </c>
      <c r="D89" s="112">
        <v>153</v>
      </c>
      <c r="E89" s="113">
        <v>9984029</v>
      </c>
      <c r="F89" s="112">
        <v>2168</v>
      </c>
      <c r="G89" s="21" t="s">
        <v>356</v>
      </c>
    </row>
    <row r="90" spans="1:7" x14ac:dyDescent="0.25">
      <c r="A90" s="62" t="s">
        <v>633</v>
      </c>
      <c r="B90" s="62" t="s">
        <v>466</v>
      </c>
      <c r="C90" s="62" t="s">
        <v>170</v>
      </c>
      <c r="D90" s="112">
        <v>0</v>
      </c>
      <c r="E90" s="112"/>
      <c r="F90" s="112">
        <v>21</v>
      </c>
      <c r="G90" s="21" t="s">
        <v>366</v>
      </c>
    </row>
    <row r="91" spans="1:7" ht="15.75" thickBot="1" x14ac:dyDescent="0.3">
      <c r="A91" s="62" t="s">
        <v>630</v>
      </c>
      <c r="B91" s="62" t="s">
        <v>465</v>
      </c>
      <c r="C91" s="62" t="s">
        <v>169</v>
      </c>
      <c r="D91" s="112">
        <v>12</v>
      </c>
      <c r="E91" s="112"/>
      <c r="F91" s="112"/>
      <c r="G91" s="21" t="s">
        <v>361</v>
      </c>
    </row>
    <row r="92" spans="1:7" ht="15.75" thickBot="1" x14ac:dyDescent="0.3">
      <c r="A92" s="62" t="s">
        <v>629</v>
      </c>
      <c r="B92" s="62" t="s">
        <v>464</v>
      </c>
      <c r="C92" s="62" t="s">
        <v>38</v>
      </c>
      <c r="D92" s="112">
        <v>2488</v>
      </c>
      <c r="E92" s="113">
        <v>2262199</v>
      </c>
      <c r="F92" s="112">
        <v>2195</v>
      </c>
      <c r="G92" s="21" t="s">
        <v>356</v>
      </c>
    </row>
    <row r="93" spans="1:7" ht="15.75" thickBot="1" x14ac:dyDescent="0.3">
      <c r="A93" s="62" t="s">
        <v>629</v>
      </c>
      <c r="B93" s="62" t="s">
        <v>463</v>
      </c>
      <c r="C93" s="62" t="s">
        <v>85</v>
      </c>
      <c r="D93" s="112">
        <v>2200</v>
      </c>
      <c r="E93" s="113">
        <v>12230554</v>
      </c>
      <c r="F93" s="112"/>
      <c r="G93" s="21" t="s">
        <v>353</v>
      </c>
    </row>
    <row r="94" spans="1:7" x14ac:dyDescent="0.25">
      <c r="A94" s="62" t="s">
        <v>630</v>
      </c>
      <c r="B94" s="62" t="s">
        <v>462</v>
      </c>
      <c r="C94" s="62" t="s">
        <v>168</v>
      </c>
      <c r="D94" s="112"/>
      <c r="E94" s="112"/>
      <c r="F94" s="112">
        <v>931</v>
      </c>
      <c r="G94" s="21" t="s">
        <v>361</v>
      </c>
    </row>
    <row r="95" spans="1:7" x14ac:dyDescent="0.25">
      <c r="A95" s="62" t="s">
        <v>633</v>
      </c>
      <c r="B95" s="62" t="s">
        <v>461</v>
      </c>
      <c r="C95" s="62" t="s">
        <v>167</v>
      </c>
      <c r="D95" s="112">
        <v>2</v>
      </c>
      <c r="E95" s="112"/>
      <c r="F95" s="112"/>
      <c r="G95" s="21" t="s">
        <v>361</v>
      </c>
    </row>
    <row r="96" spans="1:7" ht="15.75" thickBot="1" x14ac:dyDescent="0.3">
      <c r="A96" s="62" t="s">
        <v>633</v>
      </c>
      <c r="B96" s="62" t="s">
        <v>460</v>
      </c>
      <c r="C96" s="62" t="s">
        <v>166</v>
      </c>
      <c r="D96" s="112">
        <v>0</v>
      </c>
      <c r="E96" s="112"/>
      <c r="F96" s="112">
        <v>16</v>
      </c>
      <c r="G96" s="21" t="s">
        <v>366</v>
      </c>
    </row>
    <row r="97" spans="1:7" ht="15.75" thickBot="1" x14ac:dyDescent="0.3">
      <c r="A97" s="62" t="s">
        <v>629</v>
      </c>
      <c r="B97" s="62" t="s">
        <v>459</v>
      </c>
      <c r="C97" s="62" t="s">
        <v>84</v>
      </c>
      <c r="D97" s="112">
        <v>1</v>
      </c>
      <c r="E97" s="113">
        <v>47713802</v>
      </c>
      <c r="F97" s="112">
        <v>14459</v>
      </c>
      <c r="G97" s="21" t="s">
        <v>353</v>
      </c>
    </row>
    <row r="98" spans="1:7" ht="15.75" thickBot="1" x14ac:dyDescent="0.3">
      <c r="A98" s="62" t="s">
        <v>629</v>
      </c>
      <c r="B98" s="62" t="s">
        <v>458</v>
      </c>
      <c r="C98" s="62" t="s">
        <v>83</v>
      </c>
      <c r="D98" s="112">
        <v>118712</v>
      </c>
      <c r="E98" s="113">
        <v>74501369</v>
      </c>
      <c r="F98" s="112"/>
      <c r="G98" s="21" t="s">
        <v>353</v>
      </c>
    </row>
    <row r="99" spans="1:7" x14ac:dyDescent="0.25">
      <c r="A99" s="62" t="s">
        <v>631</v>
      </c>
      <c r="B99" s="62" t="s">
        <v>457</v>
      </c>
      <c r="C99" s="62" t="s">
        <v>165</v>
      </c>
      <c r="D99" s="112">
        <v>73</v>
      </c>
      <c r="E99" s="112"/>
      <c r="F99" s="112">
        <v>563</v>
      </c>
      <c r="G99" s="21" t="s">
        <v>361</v>
      </c>
    </row>
    <row r="100" spans="1:7" ht="15.75" thickBot="1" x14ac:dyDescent="0.3">
      <c r="A100" s="62" t="s">
        <v>635</v>
      </c>
      <c r="B100" s="62" t="s">
        <v>456</v>
      </c>
      <c r="C100" s="62" t="s">
        <v>37</v>
      </c>
      <c r="D100" s="112">
        <v>0</v>
      </c>
      <c r="E100" s="112"/>
      <c r="F100" s="112">
        <v>0</v>
      </c>
      <c r="G100" s="21" t="s">
        <v>361</v>
      </c>
    </row>
    <row r="101" spans="1:7" ht="15.75" thickBot="1" x14ac:dyDescent="0.3">
      <c r="A101" s="62" t="s">
        <v>629</v>
      </c>
      <c r="B101" s="62" t="s">
        <v>455</v>
      </c>
      <c r="C101" s="62" t="s">
        <v>82</v>
      </c>
      <c r="D101" s="112">
        <v>1719</v>
      </c>
      <c r="E101" s="113">
        <v>61091297</v>
      </c>
      <c r="F101" s="112">
        <v>1388</v>
      </c>
      <c r="G101" s="21" t="s">
        <v>353</v>
      </c>
    </row>
    <row r="102" spans="1:7" ht="15.75" thickBot="1" x14ac:dyDescent="0.3">
      <c r="A102" s="62" t="s">
        <v>633</v>
      </c>
      <c r="B102" s="62" t="s">
        <v>454</v>
      </c>
      <c r="C102" s="62" t="s">
        <v>164</v>
      </c>
      <c r="D102" s="112">
        <v>0</v>
      </c>
      <c r="E102" s="112"/>
      <c r="F102" s="112">
        <v>6</v>
      </c>
      <c r="G102" s="21" t="s">
        <v>366</v>
      </c>
    </row>
    <row r="103" spans="1:7" ht="15.75" thickBot="1" x14ac:dyDescent="0.3">
      <c r="A103" s="62" t="s">
        <v>629</v>
      </c>
      <c r="B103" s="62" t="s">
        <v>451</v>
      </c>
      <c r="C103" s="62" t="s">
        <v>81</v>
      </c>
      <c r="D103" s="112">
        <v>1292</v>
      </c>
      <c r="E103" s="113">
        <v>5499724</v>
      </c>
      <c r="F103" s="112">
        <v>1379</v>
      </c>
      <c r="G103" s="21" t="s">
        <v>356</v>
      </c>
    </row>
    <row r="104" spans="1:7" x14ac:dyDescent="0.25">
      <c r="A104" s="62" t="s">
        <v>629</v>
      </c>
      <c r="B104" s="62" t="s">
        <v>450</v>
      </c>
      <c r="C104" s="62" t="s">
        <v>163</v>
      </c>
      <c r="D104" s="112">
        <v>12</v>
      </c>
      <c r="E104" s="112"/>
      <c r="F104" s="112">
        <v>1</v>
      </c>
      <c r="G104" s="21" t="s">
        <v>361</v>
      </c>
    </row>
    <row r="105" spans="1:7" x14ac:dyDescent="0.25">
      <c r="A105" s="62" t="s">
        <v>632</v>
      </c>
      <c r="B105" s="62" t="s">
        <v>448</v>
      </c>
      <c r="C105" s="62" t="s">
        <v>162</v>
      </c>
      <c r="D105" s="112">
        <v>0</v>
      </c>
      <c r="E105" s="112"/>
      <c r="F105" s="112">
        <v>68782</v>
      </c>
      <c r="G105" s="21" t="s">
        <v>361</v>
      </c>
    </row>
    <row r="106" spans="1:7" ht="15.75" thickBot="1" x14ac:dyDescent="0.3">
      <c r="A106" s="62" t="s">
        <v>631</v>
      </c>
      <c r="B106" s="62" t="s">
        <v>446</v>
      </c>
      <c r="C106" s="62" t="s">
        <v>161</v>
      </c>
      <c r="D106" s="112"/>
      <c r="E106" s="112"/>
      <c r="F106" s="112">
        <v>1</v>
      </c>
      <c r="G106" s="21" t="s">
        <v>356</v>
      </c>
    </row>
    <row r="107" spans="1:7" ht="15.75" thickBot="1" x14ac:dyDescent="0.3">
      <c r="A107" s="62" t="s">
        <v>631</v>
      </c>
      <c r="B107" s="62" t="s">
        <v>445</v>
      </c>
      <c r="C107" s="62" t="s">
        <v>33</v>
      </c>
      <c r="D107" s="112">
        <v>7</v>
      </c>
      <c r="E107" s="113">
        <v>4367551</v>
      </c>
      <c r="F107" s="112">
        <v>296</v>
      </c>
      <c r="G107" s="21" t="s">
        <v>356</v>
      </c>
    </row>
    <row r="108" spans="1:7" x14ac:dyDescent="0.25">
      <c r="A108" s="62" t="s">
        <v>633</v>
      </c>
      <c r="B108" s="62" t="s">
        <v>638</v>
      </c>
      <c r="C108" s="62" t="s">
        <v>159</v>
      </c>
      <c r="D108" s="112">
        <v>5</v>
      </c>
      <c r="E108" s="112"/>
      <c r="F108" s="112"/>
      <c r="G108" s="21" t="s">
        <v>361</v>
      </c>
    </row>
    <row r="109" spans="1:7" ht="15.75" thickBot="1" x14ac:dyDescent="0.3">
      <c r="A109" s="62" t="s">
        <v>630</v>
      </c>
      <c r="B109" s="62" t="s">
        <v>443</v>
      </c>
      <c r="C109" s="62" t="s">
        <v>32</v>
      </c>
      <c r="D109" s="112">
        <v>633</v>
      </c>
      <c r="E109" s="112"/>
      <c r="F109" s="112">
        <v>1577</v>
      </c>
      <c r="G109" s="21" t="s">
        <v>356</v>
      </c>
    </row>
    <row r="110" spans="1:7" ht="15.75" thickBot="1" x14ac:dyDescent="0.3">
      <c r="A110" s="62" t="s">
        <v>629</v>
      </c>
      <c r="B110" s="62" t="s">
        <v>442</v>
      </c>
      <c r="C110" s="62" t="s">
        <v>80</v>
      </c>
      <c r="D110" s="112">
        <v>2321</v>
      </c>
      <c r="E110" s="113">
        <v>41620945</v>
      </c>
      <c r="F110" s="112">
        <v>18082</v>
      </c>
      <c r="G110" s="21" t="s">
        <v>353</v>
      </c>
    </row>
    <row r="111" spans="1:7" ht="15.75" thickBot="1" x14ac:dyDescent="0.3">
      <c r="A111" s="62" t="s">
        <v>635</v>
      </c>
      <c r="B111" s="62" t="s">
        <v>441</v>
      </c>
      <c r="C111" s="62" t="s">
        <v>79</v>
      </c>
      <c r="D111" s="112">
        <v>190</v>
      </c>
      <c r="E111" s="113">
        <v>20886238</v>
      </c>
      <c r="F111" s="112">
        <v>7900</v>
      </c>
      <c r="G111" s="21" t="s">
        <v>353</v>
      </c>
    </row>
    <row r="112" spans="1:7" ht="15.75" thickBot="1" x14ac:dyDescent="0.3">
      <c r="A112" s="62" t="s">
        <v>629</v>
      </c>
      <c r="B112" s="62" t="s">
        <v>440</v>
      </c>
      <c r="C112" s="62" t="s">
        <v>158</v>
      </c>
      <c r="D112" s="112">
        <v>3138</v>
      </c>
      <c r="E112" s="112"/>
      <c r="F112" s="112"/>
      <c r="G112" s="21" t="s">
        <v>361</v>
      </c>
    </row>
    <row r="113" spans="1:7" ht="15.75" thickBot="1" x14ac:dyDescent="0.3">
      <c r="A113" s="62" t="s">
        <v>635</v>
      </c>
      <c r="B113" s="62" t="s">
        <v>439</v>
      </c>
      <c r="C113" s="62" t="s">
        <v>78</v>
      </c>
      <c r="D113" s="112">
        <v>190</v>
      </c>
      <c r="E113" s="113">
        <v>41615875</v>
      </c>
      <c r="F113" s="112">
        <v>182</v>
      </c>
      <c r="G113" s="21" t="s">
        <v>353</v>
      </c>
    </row>
    <row r="114" spans="1:7" x14ac:dyDescent="0.25">
      <c r="A114" s="62" t="s">
        <v>633</v>
      </c>
      <c r="B114" s="62" t="s">
        <v>438</v>
      </c>
      <c r="C114" s="62" t="s">
        <v>156</v>
      </c>
      <c r="D114" s="112">
        <v>15</v>
      </c>
      <c r="E114" s="112"/>
      <c r="F114" s="112">
        <v>16</v>
      </c>
      <c r="G114" s="21" t="s">
        <v>366</v>
      </c>
    </row>
    <row r="115" spans="1:7" ht="15.75" thickBot="1" x14ac:dyDescent="0.3">
      <c r="A115" s="62" t="s">
        <v>631</v>
      </c>
      <c r="B115" s="62" t="s">
        <v>433</v>
      </c>
      <c r="C115" s="62" t="s">
        <v>155</v>
      </c>
      <c r="D115" s="112">
        <v>43</v>
      </c>
      <c r="E115" s="112"/>
      <c r="F115" s="112"/>
      <c r="G115" s="21" t="s">
        <v>366</v>
      </c>
    </row>
    <row r="116" spans="1:7" ht="15.75" thickBot="1" x14ac:dyDescent="0.3">
      <c r="A116" s="62" t="s">
        <v>632</v>
      </c>
      <c r="B116" s="62" t="s">
        <v>432</v>
      </c>
      <c r="C116" s="62" t="s">
        <v>31</v>
      </c>
      <c r="D116" s="112">
        <v>0</v>
      </c>
      <c r="E116" s="113">
        <v>9559526</v>
      </c>
      <c r="F116" s="112">
        <v>0</v>
      </c>
      <c r="G116" s="21" t="s">
        <v>356</v>
      </c>
    </row>
    <row r="117" spans="1:7" ht="15.75" thickBot="1" x14ac:dyDescent="0.3">
      <c r="A117" s="62" t="s">
        <v>629</v>
      </c>
      <c r="B117" s="62" t="s">
        <v>431</v>
      </c>
      <c r="C117" s="62" t="s">
        <v>77</v>
      </c>
      <c r="D117" s="112">
        <v>372</v>
      </c>
      <c r="E117" s="113">
        <v>35065124</v>
      </c>
      <c r="F117" s="112">
        <v>20463</v>
      </c>
      <c r="G117" s="21" t="s">
        <v>353</v>
      </c>
    </row>
    <row r="118" spans="1:7" ht="15.75" thickBot="1" x14ac:dyDescent="0.3">
      <c r="A118" s="62" t="s">
        <v>629</v>
      </c>
      <c r="B118" s="62" t="s">
        <v>430</v>
      </c>
      <c r="C118" s="62" t="s">
        <v>110</v>
      </c>
      <c r="D118" s="112">
        <v>8491</v>
      </c>
      <c r="E118" s="113">
        <v>91026303</v>
      </c>
      <c r="F118" s="112">
        <v>115682</v>
      </c>
      <c r="G118" s="21" t="s">
        <v>823</v>
      </c>
    </row>
    <row r="119" spans="1:7" x14ac:dyDescent="0.25">
      <c r="A119" s="62" t="s">
        <v>633</v>
      </c>
      <c r="B119" s="62" t="s">
        <v>429</v>
      </c>
      <c r="C119" s="62" t="s">
        <v>153</v>
      </c>
      <c r="D119" s="112">
        <v>3</v>
      </c>
      <c r="E119" s="112"/>
      <c r="F119" s="112">
        <v>95</v>
      </c>
      <c r="G119" s="21" t="s">
        <v>366</v>
      </c>
    </row>
    <row r="120" spans="1:7" ht="15.75" thickBot="1" x14ac:dyDescent="0.3">
      <c r="A120" s="62" t="s">
        <v>630</v>
      </c>
      <c r="B120" s="62" t="s">
        <v>426</v>
      </c>
      <c r="C120" s="62" t="s">
        <v>152</v>
      </c>
      <c r="D120" s="112">
        <v>3</v>
      </c>
      <c r="E120" s="112"/>
      <c r="F120" s="112">
        <v>1262</v>
      </c>
      <c r="G120" s="21" t="s">
        <v>366</v>
      </c>
    </row>
    <row r="121" spans="1:7" ht="15.75" thickBot="1" x14ac:dyDescent="0.3">
      <c r="A121" s="62" t="s">
        <v>630</v>
      </c>
      <c r="B121" s="62" t="s">
        <v>425</v>
      </c>
      <c r="C121" s="62" t="s">
        <v>151</v>
      </c>
      <c r="D121" s="112">
        <v>4321</v>
      </c>
      <c r="E121" s="113">
        <v>292135120</v>
      </c>
      <c r="F121" s="112">
        <v>21785</v>
      </c>
      <c r="G121" s="21" t="s">
        <v>823</v>
      </c>
    </row>
    <row r="122" spans="1:7" ht="15.75" thickBot="1" x14ac:dyDescent="0.3">
      <c r="A122" s="62" t="s">
        <v>632</v>
      </c>
      <c r="B122" s="62" t="s">
        <v>424</v>
      </c>
      <c r="C122" s="62" t="s">
        <v>149</v>
      </c>
      <c r="D122" s="112">
        <v>0</v>
      </c>
      <c r="E122" s="112"/>
      <c r="F122" s="112">
        <v>1891</v>
      </c>
      <c r="G122" s="21" t="s">
        <v>361</v>
      </c>
    </row>
    <row r="123" spans="1:7" ht="15.75" thickBot="1" x14ac:dyDescent="0.3">
      <c r="A123" s="62" t="s">
        <v>631</v>
      </c>
      <c r="B123" s="62" t="s">
        <v>423</v>
      </c>
      <c r="C123" s="62" t="s">
        <v>109</v>
      </c>
      <c r="D123" s="112">
        <v>0</v>
      </c>
      <c r="E123" s="113">
        <v>6943268</v>
      </c>
      <c r="F123" s="112">
        <v>4575</v>
      </c>
      <c r="G123" s="21" t="s">
        <v>356</v>
      </c>
    </row>
    <row r="124" spans="1:7" x14ac:dyDescent="0.25">
      <c r="A124" s="62" t="s">
        <v>632</v>
      </c>
      <c r="B124" s="62" t="s">
        <v>422</v>
      </c>
      <c r="C124" s="62" t="s">
        <v>27</v>
      </c>
      <c r="D124" s="112">
        <v>0</v>
      </c>
      <c r="E124" s="112"/>
      <c r="F124" s="112">
        <v>1396</v>
      </c>
      <c r="G124" s="21" t="s">
        <v>356</v>
      </c>
    </row>
    <row r="125" spans="1:7" x14ac:dyDescent="0.25">
      <c r="A125" s="62" t="s">
        <v>632</v>
      </c>
      <c r="B125" s="62" t="s">
        <v>421</v>
      </c>
      <c r="C125" s="62" t="s">
        <v>148</v>
      </c>
      <c r="D125" s="112">
        <v>0</v>
      </c>
      <c r="E125" s="112"/>
      <c r="F125" s="112">
        <v>737</v>
      </c>
      <c r="G125" s="21" t="s">
        <v>361</v>
      </c>
    </row>
    <row r="126" spans="1:7" x14ac:dyDescent="0.25">
      <c r="A126" s="62" t="s">
        <v>631</v>
      </c>
      <c r="B126" s="62" t="s">
        <v>420</v>
      </c>
      <c r="C126" s="62" t="s">
        <v>26</v>
      </c>
      <c r="D126" s="112"/>
      <c r="E126" s="112"/>
      <c r="F126" s="112">
        <v>42938</v>
      </c>
      <c r="G126" s="21" t="s">
        <v>356</v>
      </c>
    </row>
    <row r="127" spans="1:7" x14ac:dyDescent="0.25">
      <c r="A127" s="62" t="s">
        <v>633</v>
      </c>
      <c r="B127" s="62" t="s">
        <v>419</v>
      </c>
      <c r="C127" s="62" t="s">
        <v>147</v>
      </c>
      <c r="D127" s="112"/>
      <c r="E127" s="112"/>
      <c r="F127" s="112">
        <v>56471</v>
      </c>
      <c r="G127" s="21" t="s">
        <v>366</v>
      </c>
    </row>
    <row r="128" spans="1:7" x14ac:dyDescent="0.25">
      <c r="A128" s="62" t="s">
        <v>633</v>
      </c>
      <c r="B128" s="62" t="s">
        <v>418</v>
      </c>
      <c r="C128" s="62" t="s">
        <v>146</v>
      </c>
      <c r="D128" s="112">
        <v>5</v>
      </c>
      <c r="E128" s="112"/>
      <c r="F128" s="112">
        <v>407</v>
      </c>
      <c r="G128" s="21" t="s">
        <v>366</v>
      </c>
    </row>
    <row r="129" spans="1:7" x14ac:dyDescent="0.25">
      <c r="A129" s="62" t="s">
        <v>630</v>
      </c>
      <c r="B129" s="62" t="s">
        <v>415</v>
      </c>
      <c r="C129" s="62" t="s">
        <v>145</v>
      </c>
      <c r="D129" s="112">
        <v>295</v>
      </c>
      <c r="E129" s="112"/>
      <c r="F129" s="112">
        <v>314</v>
      </c>
      <c r="G129" s="21" t="s">
        <v>366</v>
      </c>
    </row>
    <row r="130" spans="1:7" ht="15.75" thickBot="1" x14ac:dyDescent="0.3">
      <c r="A130" s="62" t="s">
        <v>631</v>
      </c>
      <c r="B130" s="62" t="s">
        <v>414</v>
      </c>
      <c r="C130" s="62" t="s">
        <v>144</v>
      </c>
      <c r="D130" s="112">
        <v>114</v>
      </c>
      <c r="E130" s="112"/>
      <c r="F130" s="112">
        <v>3415</v>
      </c>
      <c r="G130" s="21" t="s">
        <v>366</v>
      </c>
    </row>
    <row r="131" spans="1:7" ht="15.75" thickBot="1" x14ac:dyDescent="0.3">
      <c r="A131" s="62" t="s">
        <v>633</v>
      </c>
      <c r="B131" s="62" t="s">
        <v>413</v>
      </c>
      <c r="C131" s="62" t="s">
        <v>143</v>
      </c>
      <c r="D131" s="112">
        <v>0</v>
      </c>
      <c r="E131" s="113">
        <v>2409896</v>
      </c>
      <c r="F131" s="112">
        <v>3242</v>
      </c>
      <c r="G131" s="21" t="s">
        <v>356</v>
      </c>
    </row>
    <row r="132" spans="1:7" x14ac:dyDescent="0.25">
      <c r="A132" s="62" t="s">
        <v>633</v>
      </c>
      <c r="B132" s="62" t="s">
        <v>410</v>
      </c>
      <c r="C132" s="62" t="s">
        <v>142</v>
      </c>
      <c r="D132" s="112">
        <v>193</v>
      </c>
      <c r="E132" s="112"/>
      <c r="F132" s="112">
        <v>4691</v>
      </c>
      <c r="G132" s="21" t="s">
        <v>361</v>
      </c>
    </row>
    <row r="133" spans="1:7" ht="15.75" thickBot="1" x14ac:dyDescent="0.3">
      <c r="A133" s="62" t="s">
        <v>633</v>
      </c>
      <c r="B133" s="62" t="s">
        <v>409</v>
      </c>
      <c r="C133" s="62" t="s">
        <v>141</v>
      </c>
      <c r="D133" s="112">
        <v>129</v>
      </c>
      <c r="E133" s="112"/>
      <c r="F133" s="112">
        <v>18370</v>
      </c>
      <c r="G133" s="21" t="s">
        <v>361</v>
      </c>
    </row>
    <row r="134" spans="1:7" ht="15.75" thickBot="1" x14ac:dyDescent="0.3">
      <c r="A134" s="62" t="s">
        <v>629</v>
      </c>
      <c r="B134" s="62" t="s">
        <v>408</v>
      </c>
      <c r="C134" s="62" t="s">
        <v>76</v>
      </c>
      <c r="D134" s="112">
        <v>121</v>
      </c>
      <c r="E134" s="113">
        <v>48268361</v>
      </c>
      <c r="F134" s="112">
        <v>8970</v>
      </c>
      <c r="G134" s="21" t="s">
        <v>353</v>
      </c>
    </row>
    <row r="135" spans="1:7" x14ac:dyDescent="0.25">
      <c r="A135" s="62" t="s">
        <v>632</v>
      </c>
      <c r="B135" s="62" t="s">
        <v>407</v>
      </c>
      <c r="C135" s="62" t="s">
        <v>139</v>
      </c>
      <c r="D135" s="112">
        <v>0</v>
      </c>
      <c r="E135" s="112"/>
      <c r="F135" s="112">
        <v>30</v>
      </c>
      <c r="G135" s="21" t="s">
        <v>361</v>
      </c>
    </row>
    <row r="136" spans="1:7" x14ac:dyDescent="0.25">
      <c r="A136" s="62" t="s">
        <v>632</v>
      </c>
      <c r="B136" s="62" t="s">
        <v>406</v>
      </c>
      <c r="C136" s="62" t="s">
        <v>138</v>
      </c>
      <c r="D136" s="112">
        <v>0</v>
      </c>
      <c r="E136" s="112"/>
      <c r="F136" s="112">
        <v>1</v>
      </c>
      <c r="G136" s="21" t="s">
        <v>361</v>
      </c>
    </row>
    <row r="137" spans="1:7" ht="15.75" thickBot="1" x14ac:dyDescent="0.3">
      <c r="A137" s="62" t="s">
        <v>631</v>
      </c>
      <c r="B137" s="62" t="s">
        <v>405</v>
      </c>
      <c r="C137" s="62" t="s">
        <v>25</v>
      </c>
      <c r="D137" s="112">
        <v>8</v>
      </c>
      <c r="E137" s="112"/>
      <c r="F137" s="112">
        <v>0</v>
      </c>
      <c r="G137" s="21" t="s">
        <v>356</v>
      </c>
    </row>
    <row r="138" spans="1:7" ht="15.75" thickBot="1" x14ac:dyDescent="0.3">
      <c r="A138" s="62" t="s">
        <v>629</v>
      </c>
      <c r="B138" s="62" t="s">
        <v>404</v>
      </c>
      <c r="C138" s="62" t="s">
        <v>108</v>
      </c>
      <c r="D138" s="112">
        <v>0</v>
      </c>
      <c r="E138" s="113">
        <v>553035</v>
      </c>
      <c r="F138" s="112">
        <v>10</v>
      </c>
      <c r="G138" s="21" t="s">
        <v>356</v>
      </c>
    </row>
    <row r="139" spans="1:7" ht="15.75" thickBot="1" x14ac:dyDescent="0.3">
      <c r="A139" s="62" t="s">
        <v>630</v>
      </c>
      <c r="B139" s="62" t="s">
        <v>403</v>
      </c>
      <c r="C139" s="62" t="s">
        <v>136</v>
      </c>
      <c r="D139" s="112">
        <v>334</v>
      </c>
      <c r="E139" s="112"/>
      <c r="F139" s="112">
        <v>5439</v>
      </c>
      <c r="G139" s="21" t="s">
        <v>366</v>
      </c>
    </row>
    <row r="140" spans="1:7" ht="15.75" thickBot="1" x14ac:dyDescent="0.3">
      <c r="A140" s="62" t="s">
        <v>629</v>
      </c>
      <c r="B140" s="62" t="s">
        <v>402</v>
      </c>
      <c r="C140" s="62" t="s">
        <v>23</v>
      </c>
      <c r="D140" s="112">
        <v>428</v>
      </c>
      <c r="E140" s="113">
        <v>34055379</v>
      </c>
      <c r="F140" s="112">
        <v>5004</v>
      </c>
      <c r="G140" s="21" t="s">
        <v>356</v>
      </c>
    </row>
    <row r="141" spans="1:7" ht="15.75" thickBot="1" x14ac:dyDescent="0.3">
      <c r="A141" s="62" t="s">
        <v>633</v>
      </c>
      <c r="B141" s="62" t="s">
        <v>636</v>
      </c>
      <c r="C141" s="62" t="s">
        <v>135</v>
      </c>
      <c r="D141" s="112">
        <v>20</v>
      </c>
      <c r="E141" s="112"/>
      <c r="F141" s="112">
        <v>4978</v>
      </c>
      <c r="G141" s="21" t="s">
        <v>361</v>
      </c>
    </row>
    <row r="142" spans="1:7" ht="15.75" thickBot="1" x14ac:dyDescent="0.3">
      <c r="A142" s="62" t="s">
        <v>629</v>
      </c>
      <c r="B142" s="62" t="s">
        <v>400</v>
      </c>
      <c r="C142" s="62" t="s">
        <v>75</v>
      </c>
      <c r="D142" s="112">
        <v>1089</v>
      </c>
      <c r="E142" s="113">
        <v>21932354</v>
      </c>
      <c r="F142" s="112">
        <v>830</v>
      </c>
      <c r="G142" s="21" t="s">
        <v>353</v>
      </c>
    </row>
    <row r="143" spans="1:7" x14ac:dyDescent="0.25">
      <c r="A143" s="62" t="s">
        <v>631</v>
      </c>
      <c r="B143" s="62" t="s">
        <v>399</v>
      </c>
      <c r="C143" s="62" t="s">
        <v>133</v>
      </c>
      <c r="D143" s="112">
        <v>50</v>
      </c>
      <c r="E143" s="112"/>
      <c r="F143" s="112">
        <v>143</v>
      </c>
      <c r="G143" s="21" t="s">
        <v>366</v>
      </c>
    </row>
    <row r="144" spans="1:7" x14ac:dyDescent="0.25">
      <c r="A144" s="62" t="s">
        <v>633</v>
      </c>
      <c r="B144" s="62" t="s">
        <v>398</v>
      </c>
      <c r="C144" s="62" t="s">
        <v>132</v>
      </c>
      <c r="D144" s="112">
        <v>0</v>
      </c>
      <c r="E144" s="112"/>
      <c r="F144" s="112">
        <v>47</v>
      </c>
      <c r="G144" s="21" t="s">
        <v>366</v>
      </c>
    </row>
    <row r="145" spans="1:7" ht="15.75" thickBot="1" x14ac:dyDescent="0.3">
      <c r="A145" s="62" t="s">
        <v>633</v>
      </c>
      <c r="B145" s="62" t="s">
        <v>397</v>
      </c>
      <c r="C145" s="62" t="s">
        <v>131</v>
      </c>
      <c r="D145" s="112">
        <v>2</v>
      </c>
      <c r="E145" s="112"/>
      <c r="G145" s="21" t="s">
        <v>366</v>
      </c>
    </row>
    <row r="146" spans="1:7" ht="15.75" thickBot="1" x14ac:dyDescent="0.3">
      <c r="A146" s="62" t="s">
        <v>631</v>
      </c>
      <c r="B146" s="62" t="s">
        <v>396</v>
      </c>
      <c r="C146" s="62" t="s">
        <v>74</v>
      </c>
      <c r="D146" s="112">
        <v>0</v>
      </c>
      <c r="E146" s="113">
        <v>806755</v>
      </c>
      <c r="F146" s="112">
        <v>343</v>
      </c>
      <c r="G146" s="21" t="s">
        <v>356</v>
      </c>
    </row>
    <row r="147" spans="1:7" ht="15.75" thickBot="1" x14ac:dyDescent="0.3">
      <c r="A147" s="62" t="s">
        <v>630</v>
      </c>
      <c r="B147" s="62" t="s">
        <v>395</v>
      </c>
      <c r="C147" s="62" t="s">
        <v>130</v>
      </c>
      <c r="D147" s="112">
        <v>115</v>
      </c>
      <c r="E147" s="113">
        <v>1428140</v>
      </c>
      <c r="F147" s="112"/>
      <c r="G147" s="21" t="s">
        <v>353</v>
      </c>
    </row>
    <row r="148" spans="1:7" x14ac:dyDescent="0.25">
      <c r="A148" s="62" t="s">
        <v>629</v>
      </c>
      <c r="B148" s="62" t="s">
        <v>394</v>
      </c>
      <c r="C148" s="62" t="s">
        <v>129</v>
      </c>
      <c r="D148" s="112"/>
      <c r="E148" s="112"/>
      <c r="F148" s="112">
        <v>10624</v>
      </c>
      <c r="G148" s="21" t="s">
        <v>361</v>
      </c>
    </row>
    <row r="149" spans="1:7" ht="15.75" thickBot="1" x14ac:dyDescent="0.3">
      <c r="A149" s="62" t="s">
        <v>633</v>
      </c>
      <c r="B149" s="62" t="s">
        <v>393</v>
      </c>
      <c r="C149" s="62" t="s">
        <v>128</v>
      </c>
      <c r="D149" s="112">
        <v>302</v>
      </c>
      <c r="E149" s="112"/>
      <c r="F149" s="112">
        <v>21650</v>
      </c>
      <c r="G149" s="21" t="s">
        <v>366</v>
      </c>
    </row>
    <row r="150" spans="1:7" ht="15.75" thickBot="1" x14ac:dyDescent="0.3">
      <c r="A150" s="62" t="s">
        <v>635</v>
      </c>
      <c r="B150" s="62" t="s">
        <v>392</v>
      </c>
      <c r="C150" s="62" t="s">
        <v>22</v>
      </c>
      <c r="D150" s="112">
        <v>79</v>
      </c>
      <c r="E150" s="113">
        <v>19072617</v>
      </c>
      <c r="F150" s="112">
        <v>4004</v>
      </c>
      <c r="G150" s="21" t="s">
        <v>356</v>
      </c>
    </row>
    <row r="151" spans="1:7" ht="15.75" thickBot="1" x14ac:dyDescent="0.3">
      <c r="A151" s="62" t="s">
        <v>630</v>
      </c>
      <c r="B151" s="62" t="s">
        <v>391</v>
      </c>
      <c r="C151" s="62" t="s">
        <v>21</v>
      </c>
      <c r="D151" s="112">
        <v>680</v>
      </c>
      <c r="E151" s="113">
        <v>66503166</v>
      </c>
      <c r="F151" s="112">
        <v>14075</v>
      </c>
      <c r="G151" s="21" t="s">
        <v>356</v>
      </c>
    </row>
    <row r="152" spans="1:7" x14ac:dyDescent="0.25">
      <c r="A152" s="62" t="s">
        <v>632</v>
      </c>
      <c r="B152" s="62" t="s">
        <v>390</v>
      </c>
      <c r="C152" s="62" t="s">
        <v>127</v>
      </c>
      <c r="D152" s="112">
        <v>0</v>
      </c>
      <c r="E152" s="112"/>
      <c r="F152" s="112">
        <v>35</v>
      </c>
      <c r="G152" s="21" t="s">
        <v>361</v>
      </c>
    </row>
    <row r="153" spans="1:7" x14ac:dyDescent="0.25">
      <c r="A153" s="62" t="s">
        <v>629</v>
      </c>
      <c r="B153" s="62" t="s">
        <v>389</v>
      </c>
      <c r="C153" s="62" t="s">
        <v>20</v>
      </c>
      <c r="D153" s="112">
        <v>313</v>
      </c>
      <c r="E153" s="112"/>
      <c r="F153" s="112">
        <v>1465</v>
      </c>
      <c r="G153" s="21" t="s">
        <v>356</v>
      </c>
    </row>
    <row r="154" spans="1:7" x14ac:dyDescent="0.25">
      <c r="A154" s="62" t="s">
        <v>633</v>
      </c>
      <c r="B154" s="62" t="s">
        <v>388</v>
      </c>
      <c r="C154" s="62" t="s">
        <v>126</v>
      </c>
      <c r="D154" s="112">
        <v>6</v>
      </c>
      <c r="E154" s="112"/>
      <c r="F154" s="112">
        <v>29</v>
      </c>
      <c r="G154" s="21" t="s">
        <v>366</v>
      </c>
    </row>
    <row r="155" spans="1:7" x14ac:dyDescent="0.25">
      <c r="A155" s="62" t="s">
        <v>633</v>
      </c>
      <c r="B155" s="62" t="s">
        <v>387</v>
      </c>
      <c r="C155" s="62" t="s">
        <v>125</v>
      </c>
      <c r="D155" s="112">
        <v>77</v>
      </c>
      <c r="E155" s="112"/>
      <c r="F155" s="112">
        <v>1990</v>
      </c>
      <c r="G155" s="21" t="s">
        <v>366</v>
      </c>
    </row>
    <row r="156" spans="1:7" ht="15.75" thickBot="1" x14ac:dyDescent="0.3">
      <c r="A156" s="62" t="s">
        <v>630</v>
      </c>
      <c r="B156" s="62" t="s">
        <v>386</v>
      </c>
      <c r="C156" s="62" t="s">
        <v>19</v>
      </c>
      <c r="D156" s="112">
        <v>26</v>
      </c>
      <c r="E156" s="112"/>
      <c r="F156" s="112">
        <v>535</v>
      </c>
      <c r="G156" s="21" t="s">
        <v>356</v>
      </c>
    </row>
    <row r="157" spans="1:7" ht="15.75" thickBot="1" x14ac:dyDescent="0.3">
      <c r="A157" s="62" t="s">
        <v>633</v>
      </c>
      <c r="B157" s="62" t="s">
        <v>385</v>
      </c>
      <c r="C157" s="62" t="s">
        <v>72</v>
      </c>
      <c r="D157" s="112">
        <v>0</v>
      </c>
      <c r="E157" s="113">
        <v>10604391</v>
      </c>
      <c r="F157" s="112">
        <v>6897</v>
      </c>
      <c r="G157" s="21" t="s">
        <v>353</v>
      </c>
    </row>
    <row r="158" spans="1:7" x14ac:dyDescent="0.25">
      <c r="A158" s="62" t="s">
        <v>635</v>
      </c>
      <c r="B158" s="62" t="s">
        <v>382</v>
      </c>
      <c r="C158" s="60" t="s">
        <v>384</v>
      </c>
      <c r="G158" s="21" t="s">
        <v>361</v>
      </c>
    </row>
    <row r="159" spans="1:7" ht="15.75" thickBot="1" x14ac:dyDescent="0.3">
      <c r="A159" s="62" t="s">
        <v>633</v>
      </c>
      <c r="B159" s="62" t="s">
        <v>383</v>
      </c>
      <c r="C159" s="62" t="s">
        <v>18</v>
      </c>
      <c r="D159" s="112">
        <v>2534</v>
      </c>
      <c r="E159" s="112"/>
      <c r="F159" s="112">
        <v>29244</v>
      </c>
      <c r="G159" s="21" t="s">
        <v>361</v>
      </c>
    </row>
    <row r="160" spans="1:7" ht="15.75" thickBot="1" x14ac:dyDescent="0.3">
      <c r="A160" s="62" t="s">
        <v>629</v>
      </c>
      <c r="B160" s="62" t="s">
        <v>380</v>
      </c>
      <c r="C160" s="62" t="s">
        <v>70</v>
      </c>
      <c r="D160" s="112">
        <v>120</v>
      </c>
      <c r="E160" s="113">
        <v>12695417</v>
      </c>
      <c r="F160" s="112">
        <v>4548</v>
      </c>
      <c r="G160" s="21" t="s">
        <v>353</v>
      </c>
    </row>
    <row r="161" spans="1:7" x14ac:dyDescent="0.25">
      <c r="A161" s="62" t="s">
        <v>631</v>
      </c>
      <c r="B161" s="62" t="s">
        <v>379</v>
      </c>
      <c r="C161" s="62" t="s">
        <v>16</v>
      </c>
      <c r="D161" s="112">
        <v>0</v>
      </c>
      <c r="E161" s="112"/>
      <c r="F161" s="112">
        <v>65</v>
      </c>
      <c r="G161" s="21" t="s">
        <v>356</v>
      </c>
    </row>
    <row r="162" spans="1:7" x14ac:dyDescent="0.25">
      <c r="A162" s="62" t="s">
        <v>632</v>
      </c>
      <c r="B162" s="62" t="s">
        <v>378</v>
      </c>
      <c r="C162" s="62" t="s">
        <v>123</v>
      </c>
      <c r="D162" s="112">
        <v>0</v>
      </c>
      <c r="E162" s="112"/>
      <c r="F162" s="112">
        <v>511</v>
      </c>
      <c r="G162" s="21" t="s">
        <v>366</v>
      </c>
    </row>
    <row r="163" spans="1:7" x14ac:dyDescent="0.25">
      <c r="A163" s="62" t="s">
        <v>630</v>
      </c>
      <c r="B163" s="62" t="s">
        <v>377</v>
      </c>
      <c r="C163" s="62" t="s">
        <v>15</v>
      </c>
      <c r="D163" s="112">
        <v>1</v>
      </c>
      <c r="E163" s="112"/>
      <c r="F163" s="112">
        <v>547</v>
      </c>
      <c r="G163" s="21" t="s">
        <v>361</v>
      </c>
    </row>
    <row r="164" spans="1:7" ht="15.75" thickBot="1" x14ac:dyDescent="0.3">
      <c r="A164" s="62" t="s">
        <v>633</v>
      </c>
      <c r="B164" s="62" t="s">
        <v>376</v>
      </c>
      <c r="C164" s="62" t="s">
        <v>122</v>
      </c>
      <c r="D164" s="112"/>
      <c r="E164" s="112"/>
      <c r="F164" s="112">
        <v>11372</v>
      </c>
      <c r="G164" s="21" t="s">
        <v>361</v>
      </c>
    </row>
    <row r="165" spans="1:7" ht="15.75" thickBot="1" x14ac:dyDescent="0.3">
      <c r="A165" s="62" t="s">
        <v>633</v>
      </c>
      <c r="B165" s="62" t="s">
        <v>375</v>
      </c>
      <c r="C165" s="62" t="s">
        <v>121</v>
      </c>
      <c r="D165" s="112">
        <v>0</v>
      </c>
      <c r="E165" s="113">
        <v>1233659</v>
      </c>
      <c r="F165" s="112">
        <v>2806</v>
      </c>
      <c r="G165" s="21" t="s">
        <v>356</v>
      </c>
    </row>
    <row r="166" spans="1:7" ht="15.75" thickBot="1" x14ac:dyDescent="0.3">
      <c r="A166" s="62" t="s">
        <v>629</v>
      </c>
      <c r="B166" s="62" t="s">
        <v>374</v>
      </c>
      <c r="C166" s="62" t="s">
        <v>69</v>
      </c>
      <c r="D166" s="112">
        <v>1313</v>
      </c>
      <c r="E166" s="113">
        <v>121370441</v>
      </c>
      <c r="F166" s="112">
        <v>2637</v>
      </c>
      <c r="G166" s="21" t="s">
        <v>353</v>
      </c>
    </row>
    <row r="167" spans="1:7" ht="15.75" thickBot="1" x14ac:dyDescent="0.3">
      <c r="A167" s="62" t="s">
        <v>633</v>
      </c>
      <c r="B167" s="62" t="s">
        <v>373</v>
      </c>
      <c r="C167" s="62" t="s">
        <v>11</v>
      </c>
      <c r="D167" s="112"/>
      <c r="E167" s="113">
        <v>3544463</v>
      </c>
      <c r="F167" s="112">
        <v>6841</v>
      </c>
      <c r="G167" s="21" t="s">
        <v>356</v>
      </c>
    </row>
    <row r="168" spans="1:7" x14ac:dyDescent="0.25">
      <c r="A168" s="62" t="s">
        <v>630</v>
      </c>
      <c r="B168" s="62" t="s">
        <v>372</v>
      </c>
      <c r="C168" s="62" t="s">
        <v>120</v>
      </c>
      <c r="D168" s="112">
        <v>87</v>
      </c>
      <c r="E168" s="112"/>
      <c r="F168" s="112">
        <v>1187</v>
      </c>
      <c r="G168" s="21" t="s">
        <v>366</v>
      </c>
    </row>
    <row r="169" spans="1:7" ht="15.75" thickBot="1" x14ac:dyDescent="0.3">
      <c r="A169" s="62" t="s">
        <v>633</v>
      </c>
      <c r="B169" s="62" t="s">
        <v>371</v>
      </c>
      <c r="C169" s="62" t="s">
        <v>634</v>
      </c>
      <c r="D169" s="112">
        <v>443</v>
      </c>
      <c r="E169" s="112"/>
      <c r="F169" s="112">
        <v>28228</v>
      </c>
      <c r="G169" s="21" t="s">
        <v>366</v>
      </c>
    </row>
    <row r="170" spans="1:7" ht="15.75" thickBot="1" x14ac:dyDescent="0.3">
      <c r="A170" s="62" t="s">
        <v>629</v>
      </c>
      <c r="B170" s="62" t="s">
        <v>370</v>
      </c>
      <c r="C170" s="62" t="s">
        <v>118</v>
      </c>
      <c r="D170" s="112">
        <v>167</v>
      </c>
      <c r="E170" s="113">
        <v>76902055</v>
      </c>
      <c r="F170" s="112">
        <v>14920</v>
      </c>
      <c r="G170" s="21" t="s">
        <v>353</v>
      </c>
    </row>
    <row r="171" spans="1:7" x14ac:dyDescent="0.25">
      <c r="A171" s="62" t="s">
        <v>632</v>
      </c>
      <c r="B171" s="62" t="s">
        <v>369</v>
      </c>
      <c r="C171" s="62" t="s">
        <v>117</v>
      </c>
      <c r="D171" s="112"/>
      <c r="E171" s="112"/>
      <c r="F171" s="112">
        <v>27786</v>
      </c>
      <c r="G171" s="21" t="s">
        <v>366</v>
      </c>
    </row>
    <row r="172" spans="1:7" ht="15.75" thickBot="1" x14ac:dyDescent="0.3">
      <c r="A172" s="62" t="s">
        <v>632</v>
      </c>
      <c r="B172" s="62" t="s">
        <v>365</v>
      </c>
      <c r="C172" s="62" t="s">
        <v>116</v>
      </c>
      <c r="D172" s="112">
        <v>0</v>
      </c>
      <c r="E172" s="112"/>
      <c r="F172" s="112">
        <v>110</v>
      </c>
      <c r="G172" s="21" t="s">
        <v>361</v>
      </c>
    </row>
    <row r="173" spans="1:7" ht="15.75" thickBot="1" x14ac:dyDescent="0.3">
      <c r="A173" s="62" t="s">
        <v>633</v>
      </c>
      <c r="B173" s="62" t="s">
        <v>364</v>
      </c>
      <c r="C173" s="62" t="s">
        <v>9</v>
      </c>
      <c r="D173" s="112">
        <v>117</v>
      </c>
      <c r="E173" s="113">
        <v>21959275</v>
      </c>
      <c r="F173" s="112">
        <v>3943</v>
      </c>
      <c r="G173" s="21" t="s">
        <v>356</v>
      </c>
    </row>
    <row r="174" spans="1:7" x14ac:dyDescent="0.25">
      <c r="A174" s="62" t="s">
        <v>631</v>
      </c>
      <c r="B174" s="62" t="s">
        <v>363</v>
      </c>
      <c r="C174" s="62" t="s">
        <v>8</v>
      </c>
      <c r="D174" s="112">
        <v>0</v>
      </c>
      <c r="E174" s="112"/>
      <c r="F174" s="112">
        <v>67</v>
      </c>
      <c r="G174" s="21" t="s">
        <v>356</v>
      </c>
    </row>
    <row r="175" spans="1:7" ht="15.75" thickBot="1" x14ac:dyDescent="0.3">
      <c r="A175" s="62" t="s">
        <v>632</v>
      </c>
      <c r="B175" s="62" t="s">
        <v>362</v>
      </c>
      <c r="C175" s="62" t="s">
        <v>115</v>
      </c>
      <c r="D175" s="112">
        <v>0</v>
      </c>
      <c r="E175" s="112"/>
      <c r="F175" s="112">
        <v>9881</v>
      </c>
      <c r="G175" s="21" t="s">
        <v>361</v>
      </c>
    </row>
    <row r="176" spans="1:7" ht="15.75" thickBot="1" x14ac:dyDescent="0.3">
      <c r="A176" s="62" t="s">
        <v>631</v>
      </c>
      <c r="B176" s="62" t="s">
        <v>360</v>
      </c>
      <c r="C176" s="62" t="s">
        <v>114</v>
      </c>
      <c r="D176" s="112">
        <v>2809</v>
      </c>
      <c r="E176" s="113">
        <v>56822246</v>
      </c>
      <c r="F176" s="112">
        <v>8175</v>
      </c>
      <c r="G176" s="21" t="s">
        <v>356</v>
      </c>
    </row>
    <row r="177" spans="1:7" ht="15.75" thickBot="1" x14ac:dyDescent="0.3">
      <c r="A177" s="62" t="s">
        <v>630</v>
      </c>
      <c r="B177" s="62" t="s">
        <v>357</v>
      </c>
      <c r="C177" s="62" t="s">
        <v>107</v>
      </c>
      <c r="D177" s="112">
        <v>510</v>
      </c>
      <c r="E177" s="113">
        <v>70829017</v>
      </c>
      <c r="F177" s="112"/>
      <c r="G177" s="21" t="s">
        <v>356</v>
      </c>
    </row>
    <row r="178" spans="1:7" ht="15.75" thickBot="1" x14ac:dyDescent="0.3">
      <c r="A178" s="62" t="s">
        <v>629</v>
      </c>
      <c r="B178" s="62" t="s">
        <v>355</v>
      </c>
      <c r="C178" s="62" t="s">
        <v>68</v>
      </c>
      <c r="D178" s="112">
        <v>15754</v>
      </c>
      <c r="E178" s="113">
        <v>53112590</v>
      </c>
      <c r="F178" s="112">
        <v>6748</v>
      </c>
      <c r="G178" s="21" t="s">
        <v>356</v>
      </c>
    </row>
    <row r="179" spans="1:7" ht="15.75" thickBot="1" x14ac:dyDescent="0.3">
      <c r="A179" s="62" t="s">
        <v>629</v>
      </c>
      <c r="B179" s="62" t="s">
        <v>354</v>
      </c>
      <c r="C179" s="62" t="s">
        <v>67</v>
      </c>
      <c r="D179" s="112">
        <v>9696</v>
      </c>
      <c r="E179" s="113">
        <v>19550627</v>
      </c>
      <c r="F179" s="112">
        <v>13728</v>
      </c>
      <c r="G179" s="28" t="s">
        <v>353</v>
      </c>
    </row>
  </sheetData>
  <autoFilter ref="A1:G17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147"/>
  <sheetViews>
    <sheetView topLeftCell="A94" zoomScaleNormal="100" zoomScalePageLayoutView="150" workbookViewId="0">
      <selection activeCell="O147" sqref="O147"/>
    </sheetView>
  </sheetViews>
  <sheetFormatPr defaultColWidth="8.85546875" defaultRowHeight="15" x14ac:dyDescent="0.25"/>
  <cols>
    <col min="1" max="1" width="35" bestFit="1" customWidth="1"/>
    <col min="2" max="2" width="22.7109375" bestFit="1" customWidth="1"/>
    <col min="3" max="3" width="11.28515625" bestFit="1" customWidth="1"/>
    <col min="4" max="4" width="11.28515625" customWidth="1"/>
    <col min="5" max="5" width="8.85546875" customWidth="1"/>
    <col min="6" max="12" width="8.7109375" customWidth="1"/>
    <col min="13" max="13" width="8.7109375" bestFit="1" customWidth="1"/>
    <col min="17" max="17" width="22.7109375" bestFit="1" customWidth="1"/>
    <col min="18" max="18" width="22.7109375" customWidth="1"/>
    <col min="19" max="23" width="10.85546875" bestFit="1" customWidth="1"/>
    <col min="24" max="24" width="9.85546875" bestFit="1" customWidth="1"/>
    <col min="25" max="25" width="10.85546875" bestFit="1" customWidth="1"/>
    <col min="26" max="26" width="9.85546875" bestFit="1" customWidth="1"/>
    <col min="27" max="29" width="10.85546875" bestFit="1" customWidth="1"/>
  </cols>
  <sheetData>
    <row r="1" spans="1:29" x14ac:dyDescent="0.25">
      <c r="A1" s="65" t="s">
        <v>66</v>
      </c>
      <c r="B1" s="65" t="s">
        <v>654</v>
      </c>
      <c r="C1" s="65">
        <v>1990</v>
      </c>
      <c r="D1" s="65">
        <v>2000</v>
      </c>
      <c r="E1" s="65">
        <v>2001</v>
      </c>
      <c r="F1" s="65">
        <v>2002</v>
      </c>
      <c r="G1" s="65">
        <v>2003</v>
      </c>
      <c r="H1" s="65">
        <v>2004</v>
      </c>
      <c r="I1" s="66">
        <v>2005</v>
      </c>
      <c r="J1" s="65">
        <v>2006</v>
      </c>
      <c r="K1" s="65">
        <v>2007</v>
      </c>
      <c r="L1" s="65">
        <v>2008</v>
      </c>
      <c r="M1" s="65">
        <v>2009</v>
      </c>
      <c r="O1" t="s">
        <v>858</v>
      </c>
    </row>
    <row r="2" spans="1:29" x14ac:dyDescent="0.25">
      <c r="A2" s="32" t="s">
        <v>231</v>
      </c>
      <c r="B2" s="21" t="s">
        <v>361</v>
      </c>
      <c r="C2" t="s">
        <v>655</v>
      </c>
      <c r="D2">
        <v>5600</v>
      </c>
      <c r="E2">
        <v>6800</v>
      </c>
      <c r="F2">
        <v>8100</v>
      </c>
      <c r="G2">
        <v>9400</v>
      </c>
      <c r="H2">
        <v>11000</v>
      </c>
      <c r="I2">
        <v>12000</v>
      </c>
      <c r="J2">
        <v>13000</v>
      </c>
      <c r="K2">
        <v>15000</v>
      </c>
      <c r="L2">
        <v>16000</v>
      </c>
      <c r="M2">
        <v>18000</v>
      </c>
    </row>
    <row r="3" spans="1:29" x14ac:dyDescent="0.25">
      <c r="A3" s="32" t="s">
        <v>62</v>
      </c>
      <c r="B3" s="21" t="s">
        <v>356</v>
      </c>
      <c r="C3">
        <v>28000</v>
      </c>
      <c r="D3">
        <v>140000</v>
      </c>
      <c r="E3">
        <v>140000</v>
      </c>
      <c r="F3">
        <v>150000</v>
      </c>
      <c r="G3">
        <v>160000</v>
      </c>
      <c r="H3">
        <v>160000</v>
      </c>
      <c r="I3">
        <v>170000</v>
      </c>
      <c r="J3">
        <v>180000</v>
      </c>
      <c r="K3">
        <v>180000</v>
      </c>
      <c r="L3">
        <v>190000</v>
      </c>
      <c r="M3">
        <v>200000</v>
      </c>
      <c r="O3">
        <f>ARV!C5/L3</f>
        <v>7.4415789473684213E-2</v>
      </c>
    </row>
    <row r="4" spans="1:29" x14ac:dyDescent="0.25">
      <c r="A4" s="32" t="s">
        <v>228</v>
      </c>
      <c r="B4" s="21" t="s">
        <v>361</v>
      </c>
      <c r="C4">
        <v>44000</v>
      </c>
      <c r="D4">
        <v>76000</v>
      </c>
      <c r="E4">
        <v>80000</v>
      </c>
      <c r="F4">
        <v>84000</v>
      </c>
      <c r="G4">
        <v>89000</v>
      </c>
      <c r="H4">
        <v>93000</v>
      </c>
      <c r="I4">
        <v>97000</v>
      </c>
      <c r="J4">
        <v>100000</v>
      </c>
      <c r="K4">
        <v>110000</v>
      </c>
      <c r="L4">
        <v>110000</v>
      </c>
      <c r="M4">
        <v>110000</v>
      </c>
    </row>
    <row r="5" spans="1:29" x14ac:dyDescent="0.25">
      <c r="A5" s="32" t="s">
        <v>61</v>
      </c>
      <c r="B5" s="21" t="s">
        <v>356</v>
      </c>
      <c r="C5">
        <v>100</v>
      </c>
      <c r="D5">
        <v>1300</v>
      </c>
      <c r="E5">
        <v>1400</v>
      </c>
      <c r="F5">
        <v>1400</v>
      </c>
      <c r="G5">
        <v>1500</v>
      </c>
      <c r="H5">
        <v>1500</v>
      </c>
      <c r="I5">
        <v>1500</v>
      </c>
      <c r="J5">
        <v>1600</v>
      </c>
      <c r="K5">
        <v>1700</v>
      </c>
      <c r="L5">
        <v>1800</v>
      </c>
      <c r="M5">
        <v>1900</v>
      </c>
    </row>
    <row r="6" spans="1:29" x14ac:dyDescent="0.25">
      <c r="A6" s="32" t="s">
        <v>227</v>
      </c>
      <c r="B6" s="21" t="s">
        <v>366</v>
      </c>
      <c r="C6">
        <v>11000</v>
      </c>
      <c r="D6">
        <v>12000</v>
      </c>
      <c r="E6">
        <v>13000</v>
      </c>
      <c r="F6">
        <v>13000</v>
      </c>
      <c r="G6">
        <v>14000</v>
      </c>
      <c r="H6">
        <v>15000</v>
      </c>
      <c r="I6">
        <v>16000</v>
      </c>
      <c r="J6">
        <v>17000</v>
      </c>
      <c r="K6">
        <v>18000</v>
      </c>
      <c r="L6">
        <v>19000</v>
      </c>
      <c r="M6">
        <v>20000</v>
      </c>
    </row>
    <row r="7" spans="1:29" x14ac:dyDescent="0.25">
      <c r="A7" s="32" t="s">
        <v>226</v>
      </c>
      <c r="B7" s="21" t="s">
        <v>366</v>
      </c>
      <c r="C7">
        <v>1000</v>
      </c>
      <c r="D7">
        <v>4500</v>
      </c>
      <c r="E7">
        <v>5300</v>
      </c>
      <c r="F7">
        <v>6300</v>
      </c>
      <c r="G7">
        <v>7400</v>
      </c>
      <c r="H7">
        <v>8500</v>
      </c>
      <c r="I7">
        <v>9800</v>
      </c>
      <c r="J7">
        <v>11000</v>
      </c>
      <c r="K7">
        <v>13000</v>
      </c>
      <c r="L7">
        <v>14000</v>
      </c>
      <c r="M7">
        <v>15000</v>
      </c>
    </row>
    <row r="8" spans="1:29" x14ac:dyDescent="0.25">
      <c r="A8" s="32" t="s">
        <v>224</v>
      </c>
      <c r="B8" s="21" t="s">
        <v>361</v>
      </c>
      <c r="C8">
        <v>500</v>
      </c>
      <c r="D8">
        <v>1100</v>
      </c>
      <c r="E8">
        <v>1300</v>
      </c>
      <c r="F8">
        <v>1500</v>
      </c>
      <c r="G8">
        <v>1700</v>
      </c>
      <c r="H8">
        <v>1900</v>
      </c>
      <c r="I8">
        <v>2200</v>
      </c>
      <c r="J8">
        <v>2500</v>
      </c>
      <c r="K8">
        <v>2800</v>
      </c>
      <c r="L8">
        <v>3200</v>
      </c>
      <c r="M8">
        <v>3600</v>
      </c>
    </row>
    <row r="9" spans="1:29" x14ac:dyDescent="0.25">
      <c r="A9" s="32" t="s">
        <v>223</v>
      </c>
      <c r="B9" s="21" t="s">
        <v>366</v>
      </c>
      <c r="C9">
        <v>5100</v>
      </c>
      <c r="D9">
        <v>5900</v>
      </c>
      <c r="E9">
        <v>5900</v>
      </c>
      <c r="F9">
        <v>5900</v>
      </c>
      <c r="G9">
        <v>6000</v>
      </c>
      <c r="H9">
        <v>6100</v>
      </c>
      <c r="I9">
        <v>6100</v>
      </c>
      <c r="J9">
        <v>6200</v>
      </c>
      <c r="K9">
        <v>6300</v>
      </c>
      <c r="L9">
        <v>6500</v>
      </c>
      <c r="M9">
        <v>6600</v>
      </c>
    </row>
    <row r="10" spans="1:29" x14ac:dyDescent="0.25">
      <c r="A10" s="32" t="s">
        <v>105</v>
      </c>
      <c r="B10" s="21" t="s">
        <v>353</v>
      </c>
      <c r="C10">
        <v>100</v>
      </c>
      <c r="D10">
        <v>1000</v>
      </c>
      <c r="E10">
        <v>1100</v>
      </c>
      <c r="F10">
        <v>1400</v>
      </c>
      <c r="G10">
        <v>1700</v>
      </c>
      <c r="H10">
        <v>2200</v>
      </c>
      <c r="I10">
        <v>2700</v>
      </c>
      <c r="J10">
        <v>3300</v>
      </c>
      <c r="K10">
        <v>4200</v>
      </c>
      <c r="L10">
        <v>5100</v>
      </c>
      <c r="M10">
        <v>6300</v>
      </c>
    </row>
    <row r="11" spans="1:29" x14ac:dyDescent="0.25">
      <c r="A11" s="32" t="s">
        <v>221</v>
      </c>
      <c r="B11" s="21" t="s">
        <v>366</v>
      </c>
      <c r="C11">
        <v>100</v>
      </c>
      <c r="D11">
        <v>1000</v>
      </c>
      <c r="E11">
        <v>1000</v>
      </c>
      <c r="F11">
        <v>1000</v>
      </c>
      <c r="G11">
        <v>1200</v>
      </c>
      <c r="H11">
        <v>1300</v>
      </c>
      <c r="I11">
        <v>1500</v>
      </c>
      <c r="J11">
        <v>1700</v>
      </c>
      <c r="K11">
        <v>1800</v>
      </c>
      <c r="L11">
        <v>2000</v>
      </c>
      <c r="M11">
        <v>2100</v>
      </c>
      <c r="Q11" s="1" t="s">
        <v>657</v>
      </c>
      <c r="R11" s="1">
        <v>1990</v>
      </c>
      <c r="S11" s="1">
        <v>2000</v>
      </c>
      <c r="T11" s="1">
        <v>2001</v>
      </c>
      <c r="U11" s="1">
        <v>2002</v>
      </c>
      <c r="V11" s="1">
        <v>2003</v>
      </c>
      <c r="W11" s="1">
        <v>2004</v>
      </c>
      <c r="X11" s="1">
        <v>2005</v>
      </c>
      <c r="Y11" s="1">
        <v>2006</v>
      </c>
      <c r="Z11" s="1">
        <v>2007</v>
      </c>
      <c r="AA11" s="1">
        <v>2008</v>
      </c>
      <c r="AB11" s="1">
        <v>2009</v>
      </c>
      <c r="AC11" t="s">
        <v>656</v>
      </c>
    </row>
    <row r="12" spans="1:29" x14ac:dyDescent="0.25">
      <c r="A12" s="32" t="s">
        <v>220</v>
      </c>
      <c r="B12" s="21" t="s">
        <v>361</v>
      </c>
      <c r="C12">
        <v>200</v>
      </c>
      <c r="D12">
        <v>4800</v>
      </c>
      <c r="E12">
        <v>6300</v>
      </c>
      <c r="F12">
        <v>7800</v>
      </c>
      <c r="G12">
        <v>9500</v>
      </c>
      <c r="H12">
        <v>11000</v>
      </c>
      <c r="I12">
        <v>12000</v>
      </c>
      <c r="J12">
        <v>14000</v>
      </c>
      <c r="K12">
        <v>15000</v>
      </c>
      <c r="L12">
        <v>16000</v>
      </c>
      <c r="M12">
        <v>17000</v>
      </c>
      <c r="Q12" t="s">
        <v>353</v>
      </c>
      <c r="R12" s="7">
        <v>4017500</v>
      </c>
      <c r="S12" s="7">
        <v>10106500</v>
      </c>
      <c r="T12" s="7">
        <v>10237500</v>
      </c>
      <c r="U12" s="7">
        <v>10295300</v>
      </c>
      <c r="V12" s="7">
        <v>10310600</v>
      </c>
      <c r="W12" s="7">
        <v>11050100</v>
      </c>
      <c r="X12" s="7">
        <v>9253400</v>
      </c>
      <c r="Y12" s="7">
        <v>10471000</v>
      </c>
      <c r="Z12" s="7">
        <v>9645600</v>
      </c>
      <c r="AA12" s="7">
        <v>11093900</v>
      </c>
      <c r="AB12" s="7">
        <v>10800200</v>
      </c>
      <c r="AC12" s="7">
        <f>AVERAGE(V12:AB12)</f>
        <v>10374971.428571429</v>
      </c>
    </row>
    <row r="13" spans="1:29" x14ac:dyDescent="0.25">
      <c r="A13" s="32" t="s">
        <v>219</v>
      </c>
      <c r="B13" s="21" t="s">
        <v>366</v>
      </c>
      <c r="C13">
        <v>2600</v>
      </c>
      <c r="D13">
        <v>12000</v>
      </c>
      <c r="E13">
        <v>12000</v>
      </c>
      <c r="F13">
        <v>13000</v>
      </c>
      <c r="G13">
        <v>13000</v>
      </c>
      <c r="H13">
        <v>13000</v>
      </c>
      <c r="I13">
        <v>14000</v>
      </c>
      <c r="J13">
        <v>14000</v>
      </c>
      <c r="K13">
        <v>14000</v>
      </c>
      <c r="L13">
        <v>14000</v>
      </c>
      <c r="M13">
        <v>14000</v>
      </c>
      <c r="Q13" t="s">
        <v>356</v>
      </c>
      <c r="R13" s="7">
        <v>910200</v>
      </c>
      <c r="S13" s="7">
        <v>3024500</v>
      </c>
      <c r="T13" s="7">
        <v>2838600</v>
      </c>
      <c r="U13" s="7">
        <v>3158900</v>
      </c>
      <c r="V13" s="7">
        <v>4952100</v>
      </c>
      <c r="W13" s="7">
        <v>3321400</v>
      </c>
      <c r="X13" s="7">
        <v>3379100</v>
      </c>
      <c r="Y13" s="7">
        <v>3459000</v>
      </c>
      <c r="Z13" s="7">
        <v>2987000</v>
      </c>
      <c r="AA13" s="7">
        <v>3573100</v>
      </c>
      <c r="AB13" s="7">
        <v>3196500</v>
      </c>
      <c r="AC13" s="7">
        <f>AVERAGE(V13:AB13)</f>
        <v>3552600</v>
      </c>
    </row>
    <row r="14" spans="1:29" x14ac:dyDescent="0.25">
      <c r="A14" s="32" t="s">
        <v>218</v>
      </c>
      <c r="B14" s="21" t="s">
        <v>356</v>
      </c>
      <c r="C14">
        <v>500</v>
      </c>
      <c r="D14">
        <v>3300</v>
      </c>
      <c r="E14">
        <v>3600</v>
      </c>
      <c r="F14">
        <v>3800</v>
      </c>
      <c r="G14">
        <v>4000</v>
      </c>
      <c r="H14">
        <v>4200</v>
      </c>
      <c r="I14">
        <v>4300</v>
      </c>
      <c r="J14">
        <v>4400</v>
      </c>
      <c r="K14">
        <v>4600</v>
      </c>
      <c r="L14">
        <v>4700</v>
      </c>
      <c r="M14">
        <v>4800</v>
      </c>
      <c r="Q14" t="s">
        <v>361</v>
      </c>
      <c r="R14" s="7">
        <v>2105500</v>
      </c>
      <c r="S14" s="7">
        <v>5725500</v>
      </c>
      <c r="T14" s="7">
        <v>6125000</v>
      </c>
      <c r="U14" s="7">
        <v>2470700</v>
      </c>
      <c r="V14" s="7">
        <v>7241600</v>
      </c>
      <c r="W14" s="7">
        <v>7438000</v>
      </c>
      <c r="X14" s="7">
        <v>7609700</v>
      </c>
      <c r="Y14" s="7">
        <v>7768900</v>
      </c>
      <c r="Z14" s="7">
        <v>7930900</v>
      </c>
      <c r="AA14" s="7">
        <v>8094400</v>
      </c>
      <c r="AB14" s="7">
        <v>8158000</v>
      </c>
      <c r="AC14" s="7">
        <f>AVERAGE(V14:AB14)</f>
        <v>7748785.7142857146</v>
      </c>
    </row>
    <row r="15" spans="1:29" x14ac:dyDescent="0.25">
      <c r="A15" s="32" t="s">
        <v>104</v>
      </c>
      <c r="B15" s="21" t="s">
        <v>353</v>
      </c>
      <c r="C15">
        <v>5500</v>
      </c>
      <c r="D15">
        <v>49000</v>
      </c>
      <c r="E15">
        <v>50000</v>
      </c>
      <c r="F15">
        <v>51000</v>
      </c>
      <c r="G15">
        <v>52000</v>
      </c>
      <c r="H15">
        <v>53000</v>
      </c>
      <c r="I15">
        <v>54000</v>
      </c>
      <c r="J15">
        <v>55000</v>
      </c>
      <c r="K15">
        <v>57000</v>
      </c>
      <c r="L15">
        <v>58000</v>
      </c>
      <c r="M15">
        <v>60000</v>
      </c>
      <c r="Q15" t="s">
        <v>652</v>
      </c>
      <c r="R15" s="7">
        <v>3092200</v>
      </c>
      <c r="S15" s="7">
        <v>5037800</v>
      </c>
      <c r="T15" s="7">
        <v>5250000</v>
      </c>
      <c r="U15" s="7">
        <v>5472000</v>
      </c>
      <c r="V15" s="7">
        <v>5511000</v>
      </c>
      <c r="W15" s="7">
        <v>5667000</v>
      </c>
      <c r="X15" s="7">
        <v>5717000</v>
      </c>
      <c r="Y15" s="7">
        <v>5773000</v>
      </c>
      <c r="Z15" s="7">
        <v>5909000</v>
      </c>
      <c r="AA15" s="7">
        <v>5963000</v>
      </c>
      <c r="AB15" s="7">
        <v>6848000</v>
      </c>
      <c r="AC15" s="7">
        <f>AVERAGE(V15:AB15)</f>
        <v>5912571.4285714282</v>
      </c>
    </row>
    <row r="16" spans="1:29" x14ac:dyDescent="0.25">
      <c r="A16" s="32" t="s">
        <v>59</v>
      </c>
      <c r="B16" s="21" t="s">
        <v>356</v>
      </c>
      <c r="C16">
        <v>100</v>
      </c>
      <c r="D16">
        <v>100</v>
      </c>
      <c r="E16">
        <v>200</v>
      </c>
      <c r="F16">
        <v>200</v>
      </c>
      <c r="G16">
        <v>200</v>
      </c>
      <c r="H16">
        <v>500</v>
      </c>
      <c r="I16">
        <v>500</v>
      </c>
      <c r="J16">
        <v>500</v>
      </c>
      <c r="K16">
        <v>1000</v>
      </c>
      <c r="L16">
        <v>1000</v>
      </c>
      <c r="M16">
        <v>1000</v>
      </c>
      <c r="Q16" t="s">
        <v>366</v>
      </c>
      <c r="R16" s="7">
        <v>1240200</v>
      </c>
      <c r="S16" s="7">
        <v>1572600</v>
      </c>
      <c r="T16" s="7">
        <v>1504800</v>
      </c>
      <c r="U16" s="7">
        <v>1710200</v>
      </c>
      <c r="V16" s="7">
        <v>1769100</v>
      </c>
      <c r="W16" s="7">
        <v>1792800</v>
      </c>
      <c r="X16" s="7">
        <v>1923800</v>
      </c>
      <c r="Y16" s="7">
        <v>1966700</v>
      </c>
      <c r="Z16" s="7">
        <v>2086300</v>
      </c>
      <c r="AA16" s="7">
        <v>2118500</v>
      </c>
      <c r="AB16" s="7">
        <v>2021200</v>
      </c>
      <c r="AC16" s="7">
        <f>AVERAGE(V16:AB16)</f>
        <v>1954057.142857143</v>
      </c>
    </row>
    <row r="17" spans="1:15" x14ac:dyDescent="0.25">
      <c r="A17" s="32" t="s">
        <v>58</v>
      </c>
      <c r="B17" s="21" t="s">
        <v>356</v>
      </c>
      <c r="C17">
        <v>4400</v>
      </c>
      <c r="D17">
        <v>12000</v>
      </c>
      <c r="E17">
        <v>12000</v>
      </c>
      <c r="F17">
        <v>12000</v>
      </c>
      <c r="G17">
        <v>12000</v>
      </c>
      <c r="H17">
        <v>12000</v>
      </c>
      <c r="I17">
        <v>12000</v>
      </c>
      <c r="J17">
        <v>12000</v>
      </c>
      <c r="K17">
        <v>12000</v>
      </c>
      <c r="L17">
        <v>12000</v>
      </c>
      <c r="M17">
        <v>12000</v>
      </c>
    </row>
    <row r="18" spans="1:15" x14ac:dyDescent="0.25">
      <c r="A18" s="32" t="s">
        <v>215</v>
      </c>
      <c r="B18" s="21" t="s">
        <v>361</v>
      </c>
      <c r="C18">
        <v>23000</v>
      </c>
      <c r="D18">
        <v>260000</v>
      </c>
      <c r="E18">
        <v>27000</v>
      </c>
      <c r="F18">
        <v>280000</v>
      </c>
      <c r="G18">
        <v>280000</v>
      </c>
      <c r="H18">
        <v>290000</v>
      </c>
      <c r="I18">
        <v>290000</v>
      </c>
      <c r="J18">
        <v>300000</v>
      </c>
      <c r="K18">
        <v>300000</v>
      </c>
      <c r="L18">
        <v>310000</v>
      </c>
      <c r="M18">
        <v>320000</v>
      </c>
      <c r="O18">
        <f>ARV!C22/L18</f>
        <v>0.37756451612903225</v>
      </c>
    </row>
    <row r="19" spans="1:15" x14ac:dyDescent="0.25">
      <c r="A19" s="32" t="s">
        <v>211</v>
      </c>
      <c r="B19" s="21" t="s">
        <v>361</v>
      </c>
      <c r="C19">
        <v>500</v>
      </c>
      <c r="D19">
        <v>1500</v>
      </c>
      <c r="E19">
        <v>1800</v>
      </c>
      <c r="F19">
        <v>2000</v>
      </c>
      <c r="G19">
        <v>2300</v>
      </c>
      <c r="H19">
        <v>2600</v>
      </c>
      <c r="I19">
        <v>2900</v>
      </c>
      <c r="J19">
        <v>3200</v>
      </c>
      <c r="K19">
        <v>3400</v>
      </c>
      <c r="L19">
        <v>3600</v>
      </c>
      <c r="M19">
        <v>3800</v>
      </c>
    </row>
    <row r="20" spans="1:15" x14ac:dyDescent="0.25">
      <c r="A20" s="32" t="s">
        <v>103</v>
      </c>
      <c r="B20" s="21" t="s">
        <v>353</v>
      </c>
      <c r="C20">
        <v>160000</v>
      </c>
      <c r="D20">
        <v>150000</v>
      </c>
      <c r="E20">
        <v>140000</v>
      </c>
      <c r="F20">
        <v>140000</v>
      </c>
      <c r="G20">
        <v>130000</v>
      </c>
      <c r="H20">
        <v>130000</v>
      </c>
      <c r="I20">
        <v>120000</v>
      </c>
      <c r="J20">
        <v>120000</v>
      </c>
      <c r="K20">
        <v>110000</v>
      </c>
      <c r="L20">
        <v>110000</v>
      </c>
      <c r="M20">
        <v>110000</v>
      </c>
    </row>
    <row r="21" spans="1:15" x14ac:dyDescent="0.25">
      <c r="A21" s="32" t="s">
        <v>102</v>
      </c>
      <c r="B21" s="21" t="s">
        <v>353</v>
      </c>
      <c r="C21">
        <v>93000</v>
      </c>
      <c r="D21">
        <v>170000</v>
      </c>
      <c r="E21">
        <v>170000</v>
      </c>
      <c r="F21">
        <v>180000</v>
      </c>
      <c r="G21">
        <v>180000</v>
      </c>
      <c r="H21">
        <v>180000</v>
      </c>
      <c r="I21">
        <v>180000</v>
      </c>
      <c r="J21">
        <v>180000</v>
      </c>
      <c r="K21">
        <v>180000</v>
      </c>
      <c r="L21">
        <v>180000</v>
      </c>
      <c r="M21">
        <v>180000</v>
      </c>
    </row>
    <row r="22" spans="1:15" x14ac:dyDescent="0.25">
      <c r="A22" s="32" t="s">
        <v>101</v>
      </c>
      <c r="B22" s="21" t="s">
        <v>353</v>
      </c>
      <c r="C22">
        <v>23000</v>
      </c>
      <c r="D22">
        <v>95000</v>
      </c>
      <c r="E22">
        <v>92000</v>
      </c>
      <c r="F22">
        <v>88000</v>
      </c>
      <c r="G22">
        <v>83000</v>
      </c>
      <c r="H22">
        <v>790000</v>
      </c>
      <c r="I22">
        <v>74000</v>
      </c>
      <c r="J22">
        <v>70000</v>
      </c>
      <c r="K22">
        <v>67000</v>
      </c>
      <c r="L22">
        <v>650000</v>
      </c>
      <c r="M22">
        <v>63000</v>
      </c>
    </row>
    <row r="23" spans="1:15" x14ac:dyDescent="0.25">
      <c r="A23" s="32" t="s">
        <v>57</v>
      </c>
      <c r="B23" s="21" t="s">
        <v>356</v>
      </c>
      <c r="C23">
        <v>33000</v>
      </c>
      <c r="D23">
        <v>460000</v>
      </c>
      <c r="E23">
        <v>480000</v>
      </c>
      <c r="F23">
        <v>490000</v>
      </c>
      <c r="G23">
        <v>510000</v>
      </c>
      <c r="H23">
        <v>530000</v>
      </c>
      <c r="I23">
        <v>540000</v>
      </c>
      <c r="J23">
        <v>560000</v>
      </c>
      <c r="K23">
        <v>570000</v>
      </c>
      <c r="L23">
        <v>590000</v>
      </c>
      <c r="M23">
        <v>610000</v>
      </c>
    </row>
    <row r="24" spans="1:15" x14ac:dyDescent="0.25">
      <c r="A24" s="32" t="s">
        <v>210</v>
      </c>
      <c r="B24" s="21" t="s">
        <v>366</v>
      </c>
      <c r="C24">
        <v>35000</v>
      </c>
      <c r="D24">
        <v>47000</v>
      </c>
      <c r="E24">
        <v>49000</v>
      </c>
      <c r="F24">
        <v>52000</v>
      </c>
      <c r="G24">
        <v>54000</v>
      </c>
      <c r="H24">
        <v>56000</v>
      </c>
      <c r="I24">
        <v>58000</v>
      </c>
      <c r="J24">
        <v>61000</v>
      </c>
      <c r="K24">
        <v>63000</v>
      </c>
      <c r="L24">
        <v>65000</v>
      </c>
      <c r="M24">
        <v>68000</v>
      </c>
    </row>
    <row r="25" spans="1:15" x14ac:dyDescent="0.25">
      <c r="A25" s="32" t="s">
        <v>100</v>
      </c>
      <c r="B25" s="21" t="s">
        <v>353</v>
      </c>
      <c r="C25">
        <v>44000</v>
      </c>
      <c r="D25">
        <v>190000</v>
      </c>
      <c r="E25">
        <v>180000</v>
      </c>
      <c r="F25">
        <v>180000</v>
      </c>
      <c r="G25">
        <v>170000</v>
      </c>
      <c r="H25">
        <v>170000</v>
      </c>
      <c r="I25">
        <v>160000</v>
      </c>
      <c r="J25">
        <v>150000</v>
      </c>
      <c r="K25">
        <v>140000</v>
      </c>
      <c r="L25">
        <v>130000</v>
      </c>
      <c r="M25">
        <v>130000</v>
      </c>
    </row>
    <row r="26" spans="1:15" x14ac:dyDescent="0.25">
      <c r="A26" s="32" t="s">
        <v>99</v>
      </c>
      <c r="B26" s="21" t="s">
        <v>353</v>
      </c>
      <c r="C26">
        <v>31000</v>
      </c>
      <c r="D26">
        <v>130000</v>
      </c>
      <c r="E26">
        <v>140000</v>
      </c>
      <c r="F26">
        <v>150000</v>
      </c>
      <c r="G26">
        <v>170000</v>
      </c>
      <c r="H26">
        <v>170000</v>
      </c>
      <c r="I26">
        <v>180000</v>
      </c>
      <c r="J26">
        <v>190000</v>
      </c>
      <c r="K26">
        <v>200000</v>
      </c>
      <c r="L26">
        <v>200000</v>
      </c>
      <c r="M26">
        <v>210000</v>
      </c>
    </row>
    <row r="27" spans="1:15" x14ac:dyDescent="0.25">
      <c r="A27" s="32" t="s">
        <v>209</v>
      </c>
      <c r="B27" s="21" t="s">
        <v>361</v>
      </c>
      <c r="C27">
        <v>2300</v>
      </c>
      <c r="D27">
        <v>21000</v>
      </c>
      <c r="E27">
        <v>24000</v>
      </c>
      <c r="F27">
        <v>27000</v>
      </c>
      <c r="G27">
        <v>30000</v>
      </c>
      <c r="H27">
        <v>32000</v>
      </c>
      <c r="I27">
        <v>34000</v>
      </c>
      <c r="J27">
        <v>36000</v>
      </c>
      <c r="K27">
        <v>38000</v>
      </c>
      <c r="L27">
        <v>39000</v>
      </c>
      <c r="M27">
        <v>40000</v>
      </c>
    </row>
    <row r="28" spans="1:15" x14ac:dyDescent="0.25">
      <c r="A28" s="32" t="s">
        <v>55</v>
      </c>
      <c r="B28" s="21" t="s">
        <v>823</v>
      </c>
      <c r="C28" t="s">
        <v>655</v>
      </c>
      <c r="D28">
        <v>0</v>
      </c>
      <c r="E28">
        <v>0</v>
      </c>
      <c r="F28">
        <v>0</v>
      </c>
      <c r="G28">
        <v>0</v>
      </c>
      <c r="H28">
        <v>0</v>
      </c>
      <c r="I28">
        <v>0</v>
      </c>
      <c r="J28">
        <v>0</v>
      </c>
      <c r="K28">
        <v>0</v>
      </c>
      <c r="L28">
        <v>0</v>
      </c>
      <c r="M28">
        <v>740000</v>
      </c>
    </row>
    <row r="29" spans="1:15" x14ac:dyDescent="0.25">
      <c r="A29" s="32" t="s">
        <v>208</v>
      </c>
      <c r="B29" s="21" t="s">
        <v>361</v>
      </c>
      <c r="C29">
        <v>32000</v>
      </c>
      <c r="D29">
        <v>210000</v>
      </c>
      <c r="E29">
        <v>210000</v>
      </c>
      <c r="F29">
        <v>210000</v>
      </c>
      <c r="G29">
        <v>200000</v>
      </c>
      <c r="H29">
        <v>190000</v>
      </c>
      <c r="I29">
        <v>190000</v>
      </c>
      <c r="J29">
        <v>180000</v>
      </c>
      <c r="K29">
        <v>170000</v>
      </c>
      <c r="L29">
        <v>160000</v>
      </c>
      <c r="M29">
        <v>160000</v>
      </c>
    </row>
    <row r="30" spans="1:15" x14ac:dyDescent="0.25">
      <c r="A30" s="32" t="s">
        <v>98</v>
      </c>
      <c r="B30" s="21" t="s">
        <v>353</v>
      </c>
      <c r="C30">
        <v>100</v>
      </c>
      <c r="D30">
        <v>100</v>
      </c>
      <c r="E30">
        <v>100</v>
      </c>
      <c r="F30">
        <v>100</v>
      </c>
      <c r="G30">
        <v>200</v>
      </c>
      <c r="H30">
        <v>200</v>
      </c>
      <c r="I30">
        <v>200</v>
      </c>
      <c r="J30">
        <v>200</v>
      </c>
      <c r="K30">
        <v>200</v>
      </c>
      <c r="L30">
        <v>200</v>
      </c>
      <c r="M30">
        <v>500</v>
      </c>
    </row>
    <row r="31" spans="1:15" x14ac:dyDescent="0.25">
      <c r="A31" s="32" t="s">
        <v>207</v>
      </c>
      <c r="B31" s="21" t="s">
        <v>356</v>
      </c>
      <c r="C31">
        <v>63000</v>
      </c>
      <c r="D31">
        <v>68000</v>
      </c>
      <c r="E31">
        <v>69000</v>
      </c>
      <c r="F31">
        <v>70000</v>
      </c>
      <c r="G31">
        <v>71000</v>
      </c>
      <c r="H31">
        <v>72000</v>
      </c>
      <c r="I31">
        <v>73000</v>
      </c>
      <c r="J31">
        <v>74000</v>
      </c>
      <c r="K31">
        <v>75000</v>
      </c>
      <c r="L31">
        <v>76000</v>
      </c>
      <c r="M31">
        <v>77000</v>
      </c>
    </row>
    <row r="32" spans="1:15" x14ac:dyDescent="0.25">
      <c r="A32" s="32" t="s">
        <v>205</v>
      </c>
      <c r="B32" s="21" t="s">
        <v>361</v>
      </c>
      <c r="C32">
        <v>200</v>
      </c>
      <c r="D32">
        <v>3300</v>
      </c>
      <c r="E32">
        <v>4400</v>
      </c>
      <c r="F32">
        <v>5300</v>
      </c>
      <c r="G32">
        <v>6200</v>
      </c>
      <c r="H32">
        <v>7000</v>
      </c>
      <c r="I32">
        <v>7700</v>
      </c>
      <c r="J32">
        <v>8400</v>
      </c>
      <c r="K32">
        <v>8900</v>
      </c>
      <c r="L32">
        <v>9400</v>
      </c>
      <c r="M32">
        <v>9800</v>
      </c>
    </row>
    <row r="33" spans="1:15" x14ac:dyDescent="0.25">
      <c r="A33" s="32" t="s">
        <v>203</v>
      </c>
      <c r="B33" s="21" t="s">
        <v>366</v>
      </c>
      <c r="C33">
        <v>100</v>
      </c>
      <c r="D33">
        <v>1000</v>
      </c>
      <c r="E33">
        <v>1000</v>
      </c>
      <c r="F33">
        <v>1000</v>
      </c>
      <c r="G33">
        <v>1000</v>
      </c>
      <c r="H33">
        <v>1000</v>
      </c>
      <c r="I33">
        <v>1000</v>
      </c>
      <c r="J33">
        <v>1000</v>
      </c>
      <c r="K33">
        <v>1000</v>
      </c>
      <c r="L33">
        <v>1000</v>
      </c>
      <c r="M33">
        <v>1000</v>
      </c>
    </row>
    <row r="34" spans="1:15" x14ac:dyDescent="0.25">
      <c r="A34" s="32" t="s">
        <v>202</v>
      </c>
      <c r="B34" s="21" t="s">
        <v>361</v>
      </c>
      <c r="C34">
        <v>500</v>
      </c>
      <c r="D34">
        <v>2300</v>
      </c>
      <c r="E34">
        <v>2600</v>
      </c>
      <c r="F34">
        <v>3000</v>
      </c>
      <c r="G34">
        <v>3300</v>
      </c>
      <c r="H34">
        <v>3700</v>
      </c>
      <c r="I34">
        <v>4000</v>
      </c>
      <c r="J34">
        <v>5100</v>
      </c>
      <c r="K34">
        <v>6200</v>
      </c>
      <c r="L34">
        <v>6700</v>
      </c>
      <c r="M34">
        <v>7100</v>
      </c>
    </row>
    <row r="35" spans="1:15" x14ac:dyDescent="0.25">
      <c r="A35" s="32" t="s">
        <v>200</v>
      </c>
      <c r="B35" s="21" t="s">
        <v>366</v>
      </c>
      <c r="C35">
        <v>200</v>
      </c>
      <c r="D35">
        <v>1200</v>
      </c>
      <c r="E35">
        <v>1300</v>
      </c>
      <c r="F35">
        <v>1400</v>
      </c>
      <c r="G35">
        <v>1500</v>
      </c>
      <c r="H35">
        <v>1600</v>
      </c>
      <c r="I35">
        <v>1700</v>
      </c>
      <c r="J35">
        <v>1800</v>
      </c>
      <c r="K35">
        <v>1800</v>
      </c>
      <c r="L35">
        <v>1900</v>
      </c>
      <c r="M35">
        <v>2000</v>
      </c>
    </row>
    <row r="36" spans="1:15" x14ac:dyDescent="0.25">
      <c r="A36" s="32" t="s">
        <v>53</v>
      </c>
      <c r="B36" s="21" t="s">
        <v>356</v>
      </c>
      <c r="C36">
        <v>140000</v>
      </c>
      <c r="D36">
        <v>640000</v>
      </c>
      <c r="E36">
        <v>630000</v>
      </c>
      <c r="F36">
        <v>610000</v>
      </c>
      <c r="G36">
        <v>590000</v>
      </c>
      <c r="H36">
        <v>570000</v>
      </c>
      <c r="I36">
        <v>540000</v>
      </c>
      <c r="J36">
        <v>520000</v>
      </c>
      <c r="K36">
        <v>490000</v>
      </c>
      <c r="L36">
        <v>470000</v>
      </c>
      <c r="M36">
        <v>0</v>
      </c>
      <c r="O36">
        <f>ARV!C42/AIDS!L36</f>
        <v>0.11025531914893617</v>
      </c>
    </row>
    <row r="37" spans="1:15" x14ac:dyDescent="0.25">
      <c r="A37" s="32" t="s">
        <v>197</v>
      </c>
      <c r="B37" s="21" t="s">
        <v>366</v>
      </c>
      <c r="C37">
        <v>1200</v>
      </c>
      <c r="D37">
        <v>3000</v>
      </c>
      <c r="E37">
        <v>3300</v>
      </c>
      <c r="F37">
        <v>3600</v>
      </c>
      <c r="G37">
        <v>3800</v>
      </c>
      <c r="H37">
        <v>4100</v>
      </c>
      <c r="I37">
        <v>4300</v>
      </c>
      <c r="J37">
        <v>4600</v>
      </c>
      <c r="K37">
        <v>4800</v>
      </c>
      <c r="L37">
        <v>5000</v>
      </c>
      <c r="M37">
        <v>5300</v>
      </c>
    </row>
    <row r="38" spans="1:15" x14ac:dyDescent="0.25">
      <c r="A38" s="32" t="s">
        <v>52</v>
      </c>
      <c r="B38" s="21" t="s">
        <v>356</v>
      </c>
      <c r="C38">
        <v>2500</v>
      </c>
      <c r="D38">
        <v>12000</v>
      </c>
      <c r="E38">
        <v>12000</v>
      </c>
      <c r="F38">
        <v>12000</v>
      </c>
      <c r="G38">
        <v>13000</v>
      </c>
      <c r="H38">
        <v>13000</v>
      </c>
      <c r="I38">
        <v>13000</v>
      </c>
      <c r="J38">
        <v>13000</v>
      </c>
      <c r="K38">
        <v>13000</v>
      </c>
      <c r="L38">
        <v>14000</v>
      </c>
      <c r="M38">
        <v>14000</v>
      </c>
    </row>
    <row r="39" spans="1:15" x14ac:dyDescent="0.25">
      <c r="A39" s="32" t="s">
        <v>195</v>
      </c>
      <c r="B39" s="21" t="s">
        <v>361</v>
      </c>
      <c r="C39">
        <v>15000</v>
      </c>
      <c r="D39">
        <v>53000</v>
      </c>
      <c r="E39">
        <v>54000</v>
      </c>
      <c r="F39">
        <v>54000</v>
      </c>
      <c r="G39">
        <v>54000</v>
      </c>
      <c r="H39">
        <v>54000</v>
      </c>
      <c r="I39">
        <v>54000</v>
      </c>
      <c r="J39">
        <v>55000</v>
      </c>
      <c r="K39">
        <v>55000</v>
      </c>
      <c r="L39">
        <v>56000</v>
      </c>
      <c r="M39">
        <v>57000</v>
      </c>
    </row>
    <row r="40" spans="1:15" x14ac:dyDescent="0.25">
      <c r="A40" s="32" t="s">
        <v>51</v>
      </c>
      <c r="B40" s="21" t="s">
        <v>361</v>
      </c>
      <c r="C40">
        <v>17000</v>
      </c>
      <c r="D40">
        <v>36000</v>
      </c>
      <c r="E40">
        <v>36000</v>
      </c>
      <c r="F40">
        <v>36000</v>
      </c>
      <c r="G40">
        <v>37000</v>
      </c>
      <c r="H40">
        <v>37000</v>
      </c>
      <c r="I40">
        <v>37000</v>
      </c>
      <c r="J40">
        <v>37000</v>
      </c>
      <c r="K40">
        <v>37000</v>
      </c>
      <c r="L40">
        <v>37000</v>
      </c>
      <c r="M40">
        <v>37000</v>
      </c>
    </row>
    <row r="41" spans="1:15" x14ac:dyDescent="0.25">
      <c r="A41" s="32" t="s">
        <v>194</v>
      </c>
      <c r="B41" s="21" t="s">
        <v>356</v>
      </c>
      <c r="C41">
        <v>500</v>
      </c>
      <c r="D41">
        <v>2800</v>
      </c>
      <c r="E41">
        <v>3300</v>
      </c>
      <c r="F41">
        <v>3900</v>
      </c>
      <c r="G41">
        <v>4600</v>
      </c>
      <c r="H41">
        <v>5500</v>
      </c>
      <c r="I41">
        <v>6400</v>
      </c>
      <c r="J41">
        <v>7300</v>
      </c>
      <c r="K41">
        <v>8400</v>
      </c>
      <c r="L41">
        <v>9500</v>
      </c>
      <c r="M41">
        <v>11000</v>
      </c>
    </row>
    <row r="42" spans="1:15" x14ac:dyDescent="0.25">
      <c r="A42" s="32" t="s">
        <v>49</v>
      </c>
      <c r="B42" s="21" t="s">
        <v>356</v>
      </c>
      <c r="C42">
        <v>3200</v>
      </c>
      <c r="D42">
        <v>23000</v>
      </c>
      <c r="E42">
        <v>25000</v>
      </c>
      <c r="F42">
        <v>27000</v>
      </c>
      <c r="G42">
        <v>28000</v>
      </c>
      <c r="H42">
        <v>30000</v>
      </c>
      <c r="I42">
        <v>31000</v>
      </c>
      <c r="J42">
        <v>32000</v>
      </c>
      <c r="K42">
        <v>32000</v>
      </c>
      <c r="L42">
        <v>33000</v>
      </c>
      <c r="M42">
        <v>34000</v>
      </c>
    </row>
    <row r="43" spans="1:15" x14ac:dyDescent="0.25">
      <c r="A43" s="32" t="s">
        <v>193</v>
      </c>
      <c r="B43" s="21" t="s">
        <v>366</v>
      </c>
      <c r="C43">
        <v>500</v>
      </c>
      <c r="D43">
        <v>4400</v>
      </c>
      <c r="E43">
        <v>5700</v>
      </c>
      <c r="F43">
        <v>7300</v>
      </c>
      <c r="G43">
        <v>9000</v>
      </c>
      <c r="H43">
        <v>11000</v>
      </c>
      <c r="I43">
        <v>13000</v>
      </c>
      <c r="J43">
        <v>15000</v>
      </c>
      <c r="K43">
        <v>16000</v>
      </c>
      <c r="L43">
        <v>18000</v>
      </c>
      <c r="M43">
        <v>20000</v>
      </c>
    </row>
    <row r="44" spans="1:15" x14ac:dyDescent="0.25">
      <c r="A44" s="32" t="s">
        <v>96</v>
      </c>
      <c r="B44" s="21" t="s">
        <v>353</v>
      </c>
      <c r="C44">
        <v>4700</v>
      </c>
      <c r="D44">
        <v>25000</v>
      </c>
      <c r="E44">
        <v>26000</v>
      </c>
      <c r="F44">
        <v>26000</v>
      </c>
      <c r="G44">
        <v>27000</v>
      </c>
      <c r="H44">
        <v>27000</v>
      </c>
      <c r="I44">
        <v>26000</v>
      </c>
      <c r="J44">
        <v>26000</v>
      </c>
      <c r="K44">
        <v>26000</v>
      </c>
      <c r="L44">
        <v>25000</v>
      </c>
      <c r="M44">
        <v>25000</v>
      </c>
    </row>
    <row r="45" spans="1:15" x14ac:dyDescent="0.25">
      <c r="A45" s="32" t="s">
        <v>192</v>
      </c>
      <c r="B45" s="21" t="s">
        <v>366</v>
      </c>
      <c r="C45">
        <v>100</v>
      </c>
      <c r="D45">
        <v>3600</v>
      </c>
      <c r="E45">
        <v>4700</v>
      </c>
      <c r="F45">
        <v>5700</v>
      </c>
      <c r="G45">
        <v>6700</v>
      </c>
      <c r="H45">
        <v>7500</v>
      </c>
      <c r="I45">
        <v>8200</v>
      </c>
      <c r="J45">
        <v>8800</v>
      </c>
      <c r="K45">
        <v>9200</v>
      </c>
      <c r="L45">
        <v>9600</v>
      </c>
      <c r="M45">
        <v>9900</v>
      </c>
    </row>
    <row r="46" spans="1:15" x14ac:dyDescent="0.25">
      <c r="A46" s="32" t="s">
        <v>191</v>
      </c>
      <c r="B46" s="21" t="s">
        <v>356</v>
      </c>
      <c r="C46">
        <v>100</v>
      </c>
      <c r="D46">
        <v>200</v>
      </c>
      <c r="E46">
        <v>200</v>
      </c>
      <c r="F46">
        <v>500</v>
      </c>
      <c r="G46">
        <v>500</v>
      </c>
      <c r="H46">
        <v>500</v>
      </c>
      <c r="I46">
        <v>500</v>
      </c>
      <c r="J46">
        <v>500</v>
      </c>
      <c r="K46">
        <v>500</v>
      </c>
      <c r="L46">
        <v>1000</v>
      </c>
      <c r="M46">
        <v>1000</v>
      </c>
    </row>
    <row r="47" spans="1:15" x14ac:dyDescent="0.25">
      <c r="A47" s="32" t="s">
        <v>190</v>
      </c>
      <c r="B47" s="21" t="s">
        <v>366</v>
      </c>
      <c r="C47">
        <v>1000</v>
      </c>
      <c r="D47">
        <v>1400</v>
      </c>
      <c r="E47">
        <v>1600</v>
      </c>
      <c r="F47">
        <v>1700</v>
      </c>
      <c r="G47">
        <v>1800</v>
      </c>
      <c r="H47">
        <v>2000</v>
      </c>
      <c r="I47">
        <v>2100</v>
      </c>
      <c r="J47">
        <v>2200</v>
      </c>
      <c r="K47">
        <v>2400</v>
      </c>
      <c r="L47">
        <v>2500</v>
      </c>
      <c r="M47">
        <v>2600</v>
      </c>
    </row>
    <row r="48" spans="1:15" x14ac:dyDescent="0.25">
      <c r="A48" s="32" t="s">
        <v>189</v>
      </c>
      <c r="B48" s="21" t="s">
        <v>366</v>
      </c>
      <c r="C48">
        <v>98000</v>
      </c>
      <c r="D48">
        <v>110000</v>
      </c>
      <c r="E48">
        <v>120000</v>
      </c>
      <c r="F48">
        <v>120000</v>
      </c>
      <c r="G48">
        <v>130000</v>
      </c>
      <c r="H48">
        <v>130000</v>
      </c>
      <c r="I48">
        <v>140000</v>
      </c>
      <c r="J48">
        <v>140000</v>
      </c>
      <c r="K48">
        <v>140000</v>
      </c>
      <c r="L48">
        <v>150000</v>
      </c>
      <c r="M48">
        <v>150000</v>
      </c>
    </row>
    <row r="49" spans="1:15" x14ac:dyDescent="0.25">
      <c r="A49" s="32" t="s">
        <v>188</v>
      </c>
      <c r="B49" s="21" t="s">
        <v>361</v>
      </c>
      <c r="C49">
        <v>3900</v>
      </c>
      <c r="D49">
        <v>34000</v>
      </c>
      <c r="E49">
        <v>36000</v>
      </c>
      <c r="F49">
        <v>38000</v>
      </c>
      <c r="G49">
        <v>39000</v>
      </c>
      <c r="H49">
        <v>41000</v>
      </c>
      <c r="I49">
        <v>42000</v>
      </c>
      <c r="J49">
        <v>43000</v>
      </c>
      <c r="K49">
        <v>44000</v>
      </c>
      <c r="L49">
        <v>45000</v>
      </c>
      <c r="M49">
        <v>46000</v>
      </c>
    </row>
    <row r="50" spans="1:15" x14ac:dyDescent="0.25">
      <c r="A50" s="32" t="s">
        <v>187</v>
      </c>
      <c r="B50" s="21" t="s">
        <v>353</v>
      </c>
      <c r="C50">
        <v>1000</v>
      </c>
      <c r="D50">
        <v>3500</v>
      </c>
      <c r="E50">
        <v>4300</v>
      </c>
      <c r="F50">
        <v>5100</v>
      </c>
      <c r="G50">
        <v>6200</v>
      </c>
      <c r="H50">
        <v>7400</v>
      </c>
      <c r="I50">
        <v>8900</v>
      </c>
      <c r="J50">
        <v>11000</v>
      </c>
      <c r="K50">
        <v>1300</v>
      </c>
      <c r="L50">
        <v>15000</v>
      </c>
      <c r="M50">
        <v>18000</v>
      </c>
    </row>
    <row r="51" spans="1:15" x14ac:dyDescent="0.25">
      <c r="A51" s="32" t="s">
        <v>48</v>
      </c>
      <c r="B51" s="21" t="s">
        <v>356</v>
      </c>
      <c r="C51">
        <v>500</v>
      </c>
      <c r="D51">
        <v>1100</v>
      </c>
      <c r="E51">
        <v>1200</v>
      </c>
      <c r="F51">
        <v>1300</v>
      </c>
      <c r="G51">
        <v>1500</v>
      </c>
      <c r="H51">
        <v>1700</v>
      </c>
      <c r="I51">
        <v>1900</v>
      </c>
      <c r="J51">
        <v>2300</v>
      </c>
      <c r="K51">
        <v>2600</v>
      </c>
      <c r="L51">
        <v>3000</v>
      </c>
      <c r="M51">
        <v>3500</v>
      </c>
    </row>
    <row r="52" spans="1:15" x14ac:dyDescent="0.25">
      <c r="A52" s="32" t="s">
        <v>186</v>
      </c>
      <c r="B52" s="21" t="s">
        <v>366</v>
      </c>
      <c r="C52">
        <v>38000</v>
      </c>
      <c r="D52">
        <v>47000</v>
      </c>
      <c r="E52">
        <v>49000</v>
      </c>
      <c r="F52">
        <v>51000</v>
      </c>
      <c r="G52">
        <v>53000</v>
      </c>
      <c r="H52">
        <v>55000</v>
      </c>
      <c r="I52">
        <v>57000</v>
      </c>
      <c r="J52">
        <v>59000</v>
      </c>
      <c r="K52">
        <v>62000</v>
      </c>
      <c r="L52">
        <v>64000</v>
      </c>
      <c r="M52">
        <v>67000</v>
      </c>
    </row>
    <row r="53" spans="1:15" x14ac:dyDescent="0.25">
      <c r="A53" s="32" t="s">
        <v>93</v>
      </c>
      <c r="B53" s="21" t="s">
        <v>356</v>
      </c>
      <c r="C53">
        <v>22000</v>
      </c>
      <c r="D53">
        <v>250000</v>
      </c>
      <c r="E53">
        <v>250000</v>
      </c>
      <c r="F53">
        <v>250000</v>
      </c>
      <c r="G53">
        <v>260000</v>
      </c>
      <c r="H53">
        <v>260000</v>
      </c>
      <c r="I53">
        <v>260000</v>
      </c>
      <c r="J53">
        <v>260000</v>
      </c>
      <c r="K53">
        <v>260000</v>
      </c>
      <c r="L53">
        <v>260000</v>
      </c>
      <c r="M53">
        <v>260000</v>
      </c>
      <c r="O53">
        <f>ARV!C66/L53</f>
        <v>8.287692307692307E-2</v>
      </c>
    </row>
    <row r="54" spans="1:15" x14ac:dyDescent="0.25">
      <c r="A54" s="32" t="s">
        <v>185</v>
      </c>
      <c r="B54" s="21" t="s">
        <v>366</v>
      </c>
      <c r="C54">
        <v>6700</v>
      </c>
      <c r="D54">
        <v>8000</v>
      </c>
      <c r="E54">
        <v>8100</v>
      </c>
      <c r="F54">
        <v>8200</v>
      </c>
      <c r="G54">
        <v>8300</v>
      </c>
      <c r="H54">
        <v>8400</v>
      </c>
      <c r="I54">
        <v>8400</v>
      </c>
      <c r="J54">
        <v>8500</v>
      </c>
      <c r="K54">
        <v>8600</v>
      </c>
      <c r="L54">
        <v>8700</v>
      </c>
      <c r="M54">
        <v>8800</v>
      </c>
    </row>
    <row r="55" spans="1:15" x14ac:dyDescent="0.25">
      <c r="A55" s="32" t="s">
        <v>47</v>
      </c>
      <c r="B55" s="21" t="s">
        <v>356</v>
      </c>
      <c r="C55">
        <v>2900</v>
      </c>
      <c r="D55">
        <v>28000</v>
      </c>
      <c r="E55">
        <v>31000</v>
      </c>
      <c r="F55">
        <v>34000</v>
      </c>
      <c r="G55">
        <v>38000</v>
      </c>
      <c r="H55">
        <v>42000</v>
      </c>
      <c r="I55">
        <v>45000</v>
      </c>
      <c r="J55">
        <v>50000</v>
      </c>
      <c r="K55">
        <v>55000</v>
      </c>
      <c r="L55">
        <v>59000</v>
      </c>
      <c r="M55">
        <v>62000</v>
      </c>
    </row>
    <row r="56" spans="1:15" x14ac:dyDescent="0.25">
      <c r="A56" s="32" t="s">
        <v>92</v>
      </c>
      <c r="B56" s="21" t="s">
        <v>353</v>
      </c>
      <c r="C56">
        <v>34000</v>
      </c>
      <c r="D56">
        <v>78000</v>
      </c>
      <c r="E56">
        <v>78000</v>
      </c>
      <c r="F56">
        <v>78000</v>
      </c>
      <c r="G56">
        <v>78000</v>
      </c>
      <c r="H56">
        <v>78000</v>
      </c>
      <c r="I56">
        <v>78000</v>
      </c>
      <c r="J56">
        <v>78000</v>
      </c>
      <c r="K56">
        <v>78000</v>
      </c>
      <c r="L56">
        <v>79000</v>
      </c>
      <c r="M56">
        <v>79000</v>
      </c>
    </row>
    <row r="57" spans="1:15" x14ac:dyDescent="0.25">
      <c r="A57" s="32" t="s">
        <v>183</v>
      </c>
      <c r="B57" s="21" t="s">
        <v>353</v>
      </c>
      <c r="C57">
        <v>1400</v>
      </c>
      <c r="D57">
        <v>13000</v>
      </c>
      <c r="E57">
        <v>14000</v>
      </c>
      <c r="F57">
        <v>16000</v>
      </c>
      <c r="G57">
        <v>17000</v>
      </c>
      <c r="H57">
        <v>18000</v>
      </c>
      <c r="I57">
        <v>19000</v>
      </c>
      <c r="J57">
        <v>20000</v>
      </c>
      <c r="K57">
        <v>20000</v>
      </c>
      <c r="L57">
        <v>21000</v>
      </c>
      <c r="M57">
        <v>22000</v>
      </c>
    </row>
    <row r="58" spans="1:15" x14ac:dyDescent="0.25">
      <c r="A58" s="32" t="s">
        <v>46</v>
      </c>
      <c r="B58" s="21" t="s">
        <v>356</v>
      </c>
      <c r="C58">
        <v>13000</v>
      </c>
      <c r="D58">
        <v>8400</v>
      </c>
      <c r="E58">
        <v>7800</v>
      </c>
      <c r="F58">
        <v>7200</v>
      </c>
      <c r="G58">
        <v>6600</v>
      </c>
      <c r="H58">
        <v>6100</v>
      </c>
      <c r="I58">
        <v>5700</v>
      </c>
      <c r="J58">
        <v>5400</v>
      </c>
      <c r="K58">
        <v>5200</v>
      </c>
      <c r="L58">
        <v>5600</v>
      </c>
      <c r="M58">
        <v>5900</v>
      </c>
    </row>
    <row r="59" spans="1:15" x14ac:dyDescent="0.25">
      <c r="A59" s="32" t="s">
        <v>90</v>
      </c>
      <c r="B59" s="21" t="s">
        <v>353</v>
      </c>
      <c r="C59">
        <v>44000</v>
      </c>
      <c r="D59">
        <v>140000</v>
      </c>
      <c r="E59">
        <v>130000</v>
      </c>
      <c r="F59">
        <v>130000</v>
      </c>
      <c r="G59">
        <v>130000</v>
      </c>
      <c r="H59">
        <v>130000</v>
      </c>
      <c r="I59">
        <v>120000</v>
      </c>
      <c r="J59">
        <v>120000</v>
      </c>
      <c r="K59">
        <v>120000</v>
      </c>
      <c r="L59">
        <v>120000</v>
      </c>
      <c r="M59">
        <v>120000</v>
      </c>
    </row>
    <row r="60" spans="1:15" x14ac:dyDescent="0.25">
      <c r="A60" s="32" t="s">
        <v>45</v>
      </c>
      <c r="B60" s="21" t="s">
        <v>356</v>
      </c>
      <c r="C60">
        <v>26000</v>
      </c>
      <c r="D60">
        <v>45000</v>
      </c>
      <c r="E60">
        <v>44000</v>
      </c>
      <c r="F60">
        <v>43000</v>
      </c>
      <c r="G60">
        <v>43000</v>
      </c>
      <c r="H60">
        <v>42000</v>
      </c>
      <c r="I60">
        <v>41000</v>
      </c>
      <c r="J60">
        <v>40000</v>
      </c>
      <c r="K60">
        <v>39000</v>
      </c>
      <c r="L60">
        <v>39000</v>
      </c>
      <c r="M60">
        <v>39000</v>
      </c>
    </row>
    <row r="61" spans="1:15" x14ac:dyDescent="0.25">
      <c r="A61" s="32" t="s">
        <v>182</v>
      </c>
      <c r="B61" s="21" t="s">
        <v>366</v>
      </c>
      <c r="C61">
        <v>52000</v>
      </c>
      <c r="D61">
        <v>2900</v>
      </c>
      <c r="E61">
        <v>2800</v>
      </c>
      <c r="F61">
        <v>2700</v>
      </c>
      <c r="G61">
        <v>2700</v>
      </c>
      <c r="H61">
        <v>2700</v>
      </c>
      <c r="I61">
        <v>2700</v>
      </c>
      <c r="J61">
        <v>2700</v>
      </c>
      <c r="K61">
        <v>2800</v>
      </c>
      <c r="L61">
        <v>2900</v>
      </c>
      <c r="M61">
        <v>3000</v>
      </c>
    </row>
    <row r="62" spans="1:15" x14ac:dyDescent="0.25">
      <c r="A62" s="32" t="s">
        <v>181</v>
      </c>
      <c r="B62" s="21" t="s">
        <v>366</v>
      </c>
      <c r="C62">
        <v>100</v>
      </c>
      <c r="D62">
        <v>500</v>
      </c>
      <c r="E62">
        <v>500</v>
      </c>
      <c r="F62">
        <v>500</v>
      </c>
      <c r="G62">
        <v>500</v>
      </c>
      <c r="H62">
        <v>500</v>
      </c>
      <c r="I62">
        <v>500</v>
      </c>
      <c r="J62">
        <v>500</v>
      </c>
      <c r="K62">
        <v>1000</v>
      </c>
      <c r="L62">
        <v>1000</v>
      </c>
      <c r="M62">
        <v>1000</v>
      </c>
    </row>
    <row r="63" spans="1:15" x14ac:dyDescent="0.25">
      <c r="A63" s="32" t="s">
        <v>44</v>
      </c>
      <c r="B63" s="21" t="s">
        <v>823</v>
      </c>
      <c r="C63">
        <v>2500000</v>
      </c>
      <c r="D63">
        <v>2400000</v>
      </c>
      <c r="E63">
        <v>2500000</v>
      </c>
      <c r="F63">
        <v>2600000</v>
      </c>
      <c r="G63">
        <v>2600000</v>
      </c>
      <c r="H63">
        <v>2600000</v>
      </c>
      <c r="I63">
        <v>2600000</v>
      </c>
      <c r="J63">
        <v>2500000</v>
      </c>
      <c r="K63">
        <v>2500000</v>
      </c>
      <c r="L63">
        <v>2400000</v>
      </c>
      <c r="M63">
        <v>2400000</v>
      </c>
    </row>
    <row r="64" spans="1:15" x14ac:dyDescent="0.25">
      <c r="A64" s="32" t="s">
        <v>43</v>
      </c>
      <c r="B64" s="21" t="s">
        <v>823</v>
      </c>
      <c r="C64">
        <v>100</v>
      </c>
      <c r="D64">
        <v>5800</v>
      </c>
      <c r="E64">
        <v>11000</v>
      </c>
      <c r="F64">
        <v>25000</v>
      </c>
      <c r="G64">
        <v>55000</v>
      </c>
      <c r="H64">
        <v>99000</v>
      </c>
      <c r="I64">
        <v>140000</v>
      </c>
      <c r="J64">
        <v>190000</v>
      </c>
      <c r="K64">
        <v>220000</v>
      </c>
      <c r="L64">
        <v>270000</v>
      </c>
      <c r="M64">
        <v>310000</v>
      </c>
    </row>
    <row r="65" spans="1:15" x14ac:dyDescent="0.25">
      <c r="A65" s="32" t="s">
        <v>180</v>
      </c>
      <c r="B65" s="21" t="s">
        <v>361</v>
      </c>
      <c r="C65">
        <v>9700</v>
      </c>
      <c r="D65">
        <v>44000</v>
      </c>
      <c r="E65">
        <v>54000</v>
      </c>
      <c r="F65">
        <v>66000</v>
      </c>
      <c r="G65">
        <v>77000</v>
      </c>
      <c r="H65">
        <v>84000</v>
      </c>
      <c r="I65">
        <v>88000</v>
      </c>
      <c r="J65">
        <v>90000</v>
      </c>
      <c r="K65">
        <v>90000</v>
      </c>
      <c r="L65">
        <v>91000</v>
      </c>
      <c r="M65">
        <v>92000</v>
      </c>
    </row>
    <row r="66" spans="1:15" x14ac:dyDescent="0.25">
      <c r="A66" s="32" t="s">
        <v>179</v>
      </c>
      <c r="B66" s="21" t="s">
        <v>366</v>
      </c>
      <c r="C66">
        <v>1000</v>
      </c>
      <c r="D66">
        <v>4200</v>
      </c>
      <c r="E66">
        <v>4500</v>
      </c>
      <c r="F66">
        <v>4900</v>
      </c>
      <c r="G66">
        <v>5200</v>
      </c>
      <c r="H66">
        <v>5500</v>
      </c>
      <c r="I66">
        <v>5800</v>
      </c>
      <c r="J66">
        <v>6100</v>
      </c>
      <c r="K66">
        <v>6400</v>
      </c>
      <c r="L66">
        <v>6600</v>
      </c>
      <c r="M66">
        <v>6900</v>
      </c>
    </row>
    <row r="67" spans="1:15" x14ac:dyDescent="0.25">
      <c r="A67" s="32" t="s">
        <v>178</v>
      </c>
      <c r="B67" s="21" t="s">
        <v>366</v>
      </c>
      <c r="C67">
        <v>1100</v>
      </c>
      <c r="D67">
        <v>4800</v>
      </c>
      <c r="E67">
        <v>5200</v>
      </c>
      <c r="F67">
        <v>5500</v>
      </c>
      <c r="G67">
        <v>5800</v>
      </c>
      <c r="H67">
        <v>6100</v>
      </c>
      <c r="I67">
        <v>6400</v>
      </c>
      <c r="J67">
        <v>6700</v>
      </c>
      <c r="K67">
        <v>7000</v>
      </c>
      <c r="L67">
        <v>7200</v>
      </c>
      <c r="M67">
        <v>7500</v>
      </c>
    </row>
    <row r="68" spans="1:15" x14ac:dyDescent="0.25">
      <c r="A68" s="32" t="s">
        <v>177</v>
      </c>
      <c r="B68" s="21" t="s">
        <v>366</v>
      </c>
      <c r="C68">
        <v>110000</v>
      </c>
      <c r="D68">
        <v>130000</v>
      </c>
      <c r="E68">
        <v>130000</v>
      </c>
      <c r="F68">
        <v>130000</v>
      </c>
      <c r="G68">
        <v>130000</v>
      </c>
      <c r="H68">
        <v>130000</v>
      </c>
      <c r="I68">
        <v>130000</v>
      </c>
      <c r="J68">
        <v>140000</v>
      </c>
      <c r="K68">
        <v>140000</v>
      </c>
      <c r="L68">
        <v>140000</v>
      </c>
      <c r="M68">
        <v>140000</v>
      </c>
    </row>
    <row r="69" spans="1:15" x14ac:dyDescent="0.25">
      <c r="A69" s="32" t="s">
        <v>176</v>
      </c>
      <c r="B69" s="21" t="s">
        <v>361</v>
      </c>
      <c r="C69">
        <v>28000</v>
      </c>
      <c r="D69">
        <v>32000</v>
      </c>
      <c r="E69">
        <v>32000</v>
      </c>
      <c r="F69">
        <v>32000</v>
      </c>
      <c r="G69">
        <v>31000</v>
      </c>
      <c r="H69">
        <v>31000</v>
      </c>
      <c r="I69">
        <v>31000</v>
      </c>
      <c r="J69">
        <v>31000</v>
      </c>
      <c r="K69">
        <v>31000</v>
      </c>
      <c r="L69">
        <v>31000</v>
      </c>
      <c r="M69">
        <v>32000</v>
      </c>
    </row>
    <row r="70" spans="1:15" x14ac:dyDescent="0.25">
      <c r="A70" s="32" t="s">
        <v>175</v>
      </c>
      <c r="B70" s="21" t="s">
        <v>366</v>
      </c>
      <c r="C70">
        <v>5700</v>
      </c>
      <c r="D70">
        <v>6300</v>
      </c>
      <c r="E70">
        <v>6500</v>
      </c>
      <c r="F70">
        <v>6700</v>
      </c>
      <c r="G70">
        <v>6800</v>
      </c>
      <c r="H70">
        <v>7100</v>
      </c>
      <c r="I70">
        <v>7200</v>
      </c>
      <c r="J70">
        <v>7500</v>
      </c>
      <c r="K70">
        <v>7600</v>
      </c>
      <c r="L70">
        <v>7900</v>
      </c>
      <c r="M70">
        <v>8100</v>
      </c>
    </row>
    <row r="71" spans="1:15" x14ac:dyDescent="0.25">
      <c r="A71" s="32" t="s">
        <v>174</v>
      </c>
      <c r="B71" s="21" t="s">
        <v>361</v>
      </c>
      <c r="C71">
        <v>100</v>
      </c>
      <c r="D71">
        <v>1000</v>
      </c>
      <c r="E71">
        <v>1800</v>
      </c>
      <c r="F71">
        <v>3500</v>
      </c>
      <c r="G71">
        <v>5300</v>
      </c>
      <c r="H71">
        <v>6600</v>
      </c>
      <c r="I71">
        <v>7700</v>
      </c>
      <c r="J71">
        <v>8900</v>
      </c>
      <c r="K71">
        <v>10000</v>
      </c>
      <c r="L71">
        <v>12000</v>
      </c>
      <c r="M71">
        <v>13000</v>
      </c>
    </row>
    <row r="72" spans="1:15" x14ac:dyDescent="0.25">
      <c r="A72" s="32" t="s">
        <v>89</v>
      </c>
      <c r="B72" s="21" t="s">
        <v>353</v>
      </c>
      <c r="C72">
        <v>400000</v>
      </c>
      <c r="D72">
        <v>1500000</v>
      </c>
      <c r="E72">
        <v>1500000</v>
      </c>
      <c r="F72">
        <v>1500000</v>
      </c>
      <c r="G72">
        <v>1400000</v>
      </c>
      <c r="H72">
        <v>1400000</v>
      </c>
      <c r="I72">
        <v>1400000</v>
      </c>
      <c r="J72">
        <v>1400000</v>
      </c>
      <c r="K72">
        <v>1400000</v>
      </c>
      <c r="L72">
        <v>1400000</v>
      </c>
      <c r="M72">
        <v>1500000</v>
      </c>
      <c r="O72">
        <f>ARV!C88/L72</f>
        <v>0.17898285714285714</v>
      </c>
    </row>
    <row r="73" spans="1:15" x14ac:dyDescent="0.25">
      <c r="A73" s="32" t="s">
        <v>172</v>
      </c>
      <c r="B73" s="21" t="s">
        <v>353</v>
      </c>
      <c r="C73">
        <v>100</v>
      </c>
      <c r="D73">
        <v>1000</v>
      </c>
      <c r="E73">
        <v>1000</v>
      </c>
      <c r="F73">
        <v>1200</v>
      </c>
      <c r="G73">
        <v>1600</v>
      </c>
      <c r="H73">
        <v>2200</v>
      </c>
      <c r="I73">
        <v>3100</v>
      </c>
      <c r="J73">
        <v>4200</v>
      </c>
      <c r="K73">
        <v>5700</v>
      </c>
      <c r="L73">
        <v>7500</v>
      </c>
      <c r="M73">
        <v>9800</v>
      </c>
    </row>
    <row r="74" spans="1:15" x14ac:dyDescent="0.25">
      <c r="A74" s="32" t="s">
        <v>171</v>
      </c>
      <c r="B74" s="21" t="s">
        <v>356</v>
      </c>
      <c r="C74">
        <v>100</v>
      </c>
      <c r="D74">
        <v>1000</v>
      </c>
      <c r="E74">
        <v>1000</v>
      </c>
      <c r="F74">
        <v>1300</v>
      </c>
      <c r="G74">
        <v>1800</v>
      </c>
      <c r="H74">
        <v>2500</v>
      </c>
      <c r="I74">
        <v>3300</v>
      </c>
      <c r="J74">
        <v>4400</v>
      </c>
      <c r="K74">
        <v>5700</v>
      </c>
      <c r="L74">
        <v>7100</v>
      </c>
      <c r="M74">
        <v>8500</v>
      </c>
    </row>
    <row r="75" spans="1:15" x14ac:dyDescent="0.25">
      <c r="A75" s="32" t="s">
        <v>170</v>
      </c>
      <c r="B75" s="21" t="s">
        <v>361</v>
      </c>
      <c r="C75">
        <v>500</v>
      </c>
      <c r="D75">
        <v>4000</v>
      </c>
      <c r="E75">
        <v>4700</v>
      </c>
      <c r="F75">
        <v>5500</v>
      </c>
      <c r="G75">
        <v>6300</v>
      </c>
      <c r="H75">
        <v>7000</v>
      </c>
      <c r="I75">
        <v>7600</v>
      </c>
      <c r="J75">
        <v>8000</v>
      </c>
      <c r="K75">
        <v>8300</v>
      </c>
      <c r="L75">
        <v>8500</v>
      </c>
      <c r="M75">
        <v>8600</v>
      </c>
    </row>
    <row r="76" spans="1:15" x14ac:dyDescent="0.25">
      <c r="A76" s="32" t="s">
        <v>169</v>
      </c>
      <c r="B76" s="21" t="s">
        <v>361</v>
      </c>
      <c r="C76">
        <v>500</v>
      </c>
      <c r="D76">
        <v>3600</v>
      </c>
      <c r="E76">
        <v>3800</v>
      </c>
      <c r="F76">
        <v>3900</v>
      </c>
      <c r="G76">
        <v>4000</v>
      </c>
      <c r="H76">
        <v>4000</v>
      </c>
      <c r="I76">
        <v>4000</v>
      </c>
      <c r="J76">
        <v>3900</v>
      </c>
      <c r="K76">
        <v>3800</v>
      </c>
      <c r="L76">
        <v>3700</v>
      </c>
      <c r="M76">
        <v>3600</v>
      </c>
    </row>
    <row r="77" spans="1:15" x14ac:dyDescent="0.25">
      <c r="A77" s="32" t="s">
        <v>38</v>
      </c>
      <c r="B77" s="21" t="s">
        <v>356</v>
      </c>
      <c r="C77">
        <v>61000</v>
      </c>
      <c r="D77">
        <v>240000</v>
      </c>
      <c r="E77">
        <v>240000</v>
      </c>
      <c r="F77">
        <v>250000</v>
      </c>
      <c r="G77">
        <v>250000</v>
      </c>
      <c r="H77">
        <v>260000</v>
      </c>
      <c r="I77">
        <v>260000</v>
      </c>
      <c r="J77">
        <v>270000</v>
      </c>
      <c r="K77">
        <v>270000</v>
      </c>
      <c r="L77">
        <v>280000</v>
      </c>
      <c r="M77">
        <v>290000</v>
      </c>
      <c r="O77">
        <f>ARV!C94/L77</f>
        <v>0.16164999999999999</v>
      </c>
    </row>
    <row r="78" spans="1:15" x14ac:dyDescent="0.25">
      <c r="A78" s="32" t="s">
        <v>85</v>
      </c>
      <c r="B78" s="21" t="s">
        <v>353</v>
      </c>
      <c r="C78">
        <v>2600</v>
      </c>
      <c r="D78">
        <v>52000</v>
      </c>
      <c r="E78">
        <v>51000</v>
      </c>
      <c r="F78">
        <v>50000</v>
      </c>
      <c r="G78">
        <v>48000</v>
      </c>
      <c r="H78">
        <v>46000</v>
      </c>
      <c r="I78">
        <v>44000</v>
      </c>
      <c r="J78">
        <v>42000</v>
      </c>
      <c r="K78">
        <v>41000</v>
      </c>
      <c r="L78">
        <v>39000</v>
      </c>
      <c r="M78">
        <v>37000</v>
      </c>
    </row>
    <row r="79" spans="1:15" x14ac:dyDescent="0.25">
      <c r="A79" s="32" t="s">
        <v>167</v>
      </c>
      <c r="B79" s="21" t="s">
        <v>361</v>
      </c>
      <c r="C79">
        <v>200</v>
      </c>
      <c r="D79">
        <v>1000</v>
      </c>
      <c r="E79">
        <v>1000</v>
      </c>
      <c r="F79">
        <v>1000</v>
      </c>
      <c r="G79">
        <v>1000</v>
      </c>
      <c r="H79">
        <v>1000</v>
      </c>
      <c r="I79">
        <v>1000</v>
      </c>
      <c r="J79">
        <v>1100</v>
      </c>
      <c r="K79">
        <v>1200</v>
      </c>
      <c r="L79">
        <v>1200</v>
      </c>
      <c r="M79">
        <v>1200</v>
      </c>
    </row>
    <row r="80" spans="1:15" x14ac:dyDescent="0.25">
      <c r="A80" s="32" t="s">
        <v>166</v>
      </c>
      <c r="B80" s="21" t="s">
        <v>366</v>
      </c>
      <c r="C80">
        <v>200</v>
      </c>
      <c r="D80">
        <v>1000</v>
      </c>
      <c r="E80">
        <v>1000</v>
      </c>
      <c r="F80">
        <v>1000</v>
      </c>
      <c r="G80">
        <v>1000</v>
      </c>
      <c r="H80">
        <v>1000</v>
      </c>
      <c r="I80">
        <v>1000</v>
      </c>
      <c r="J80">
        <v>1000</v>
      </c>
      <c r="K80">
        <v>1000</v>
      </c>
      <c r="L80">
        <v>1000</v>
      </c>
      <c r="M80">
        <v>1000</v>
      </c>
    </row>
    <row r="81" spans="1:15" x14ac:dyDescent="0.25">
      <c r="A81" s="32" t="s">
        <v>84</v>
      </c>
      <c r="B81" s="21" t="s">
        <v>353</v>
      </c>
      <c r="C81">
        <v>12000</v>
      </c>
      <c r="D81">
        <v>17000</v>
      </c>
      <c r="E81">
        <v>18000</v>
      </c>
      <c r="F81">
        <v>19000</v>
      </c>
      <c r="G81">
        <v>19000</v>
      </c>
      <c r="H81">
        <v>20000</v>
      </c>
      <c r="I81">
        <v>21000</v>
      </c>
      <c r="J81">
        <v>22000</v>
      </c>
      <c r="K81">
        <v>22000</v>
      </c>
      <c r="L81">
        <v>23000</v>
      </c>
      <c r="M81">
        <v>24000</v>
      </c>
    </row>
    <row r="82" spans="1:15" x14ac:dyDescent="0.25">
      <c r="A82" s="32" t="s">
        <v>83</v>
      </c>
      <c r="B82" s="21" t="s">
        <v>353</v>
      </c>
      <c r="C82">
        <v>310000</v>
      </c>
      <c r="D82">
        <v>850000</v>
      </c>
      <c r="E82">
        <v>860000</v>
      </c>
      <c r="F82">
        <v>870000</v>
      </c>
      <c r="G82">
        <v>880000</v>
      </c>
      <c r="H82">
        <v>880000</v>
      </c>
      <c r="I82">
        <v>880000</v>
      </c>
      <c r="J82">
        <v>890000</v>
      </c>
      <c r="K82">
        <v>900000</v>
      </c>
      <c r="L82">
        <v>910000</v>
      </c>
      <c r="M82">
        <v>920000</v>
      </c>
      <c r="O82">
        <f>ARV!C100/L82</f>
        <v>0.16208461538461538</v>
      </c>
    </row>
    <row r="83" spans="1:15" x14ac:dyDescent="0.25">
      <c r="A83" s="32" t="s">
        <v>165</v>
      </c>
      <c r="B83" s="21" t="s">
        <v>361</v>
      </c>
      <c r="C83">
        <v>6500</v>
      </c>
      <c r="D83">
        <v>63000</v>
      </c>
      <c r="E83">
        <v>67000</v>
      </c>
      <c r="F83">
        <v>71000</v>
      </c>
      <c r="G83">
        <v>76000</v>
      </c>
      <c r="H83">
        <v>80000</v>
      </c>
      <c r="I83">
        <v>85000</v>
      </c>
      <c r="J83">
        <v>89000</v>
      </c>
      <c r="K83">
        <v>93000</v>
      </c>
      <c r="L83">
        <v>97000</v>
      </c>
      <c r="M83">
        <v>100000</v>
      </c>
    </row>
    <row r="84" spans="1:15" x14ac:dyDescent="0.25">
      <c r="A84" s="32" t="s">
        <v>37</v>
      </c>
      <c r="B84" s="21" t="s">
        <v>361</v>
      </c>
      <c r="C84">
        <v>100</v>
      </c>
      <c r="D84">
        <v>100</v>
      </c>
      <c r="E84">
        <v>100</v>
      </c>
      <c r="F84">
        <v>100</v>
      </c>
      <c r="G84">
        <v>100</v>
      </c>
      <c r="H84">
        <v>100</v>
      </c>
      <c r="I84">
        <v>100</v>
      </c>
      <c r="J84">
        <v>100</v>
      </c>
      <c r="K84">
        <v>100</v>
      </c>
      <c r="L84">
        <v>100</v>
      </c>
      <c r="M84">
        <v>100</v>
      </c>
    </row>
    <row r="85" spans="1:15" x14ac:dyDescent="0.25">
      <c r="A85" s="32" t="s">
        <v>82</v>
      </c>
      <c r="B85" s="21" t="s">
        <v>353</v>
      </c>
      <c r="C85">
        <v>15000</v>
      </c>
      <c r="D85">
        <v>91000</v>
      </c>
      <c r="E85">
        <v>89000</v>
      </c>
      <c r="F85">
        <v>87000</v>
      </c>
      <c r="G85">
        <v>85000</v>
      </c>
      <c r="H85">
        <v>83000</v>
      </c>
      <c r="I85">
        <v>81000</v>
      </c>
      <c r="J85">
        <v>79000</v>
      </c>
      <c r="K85">
        <v>78000</v>
      </c>
      <c r="L85">
        <v>77000</v>
      </c>
      <c r="M85">
        <v>76000</v>
      </c>
    </row>
    <row r="86" spans="1:15" x14ac:dyDescent="0.25">
      <c r="A86" s="32" t="s">
        <v>164</v>
      </c>
      <c r="B86" s="21" t="s">
        <v>366</v>
      </c>
      <c r="C86">
        <v>100</v>
      </c>
      <c r="D86">
        <v>500</v>
      </c>
      <c r="E86">
        <v>500</v>
      </c>
      <c r="F86">
        <v>500</v>
      </c>
      <c r="G86">
        <v>500</v>
      </c>
      <c r="H86">
        <v>500</v>
      </c>
      <c r="I86">
        <v>500</v>
      </c>
      <c r="J86">
        <v>500</v>
      </c>
      <c r="K86">
        <v>500</v>
      </c>
      <c r="L86">
        <v>500</v>
      </c>
      <c r="M86">
        <v>500</v>
      </c>
    </row>
    <row r="87" spans="1:15" x14ac:dyDescent="0.25">
      <c r="A87" s="32" t="s">
        <v>81</v>
      </c>
      <c r="B87" s="21" t="s">
        <v>356</v>
      </c>
      <c r="C87">
        <v>1800</v>
      </c>
      <c r="D87">
        <v>8100</v>
      </c>
      <c r="E87">
        <v>8900</v>
      </c>
      <c r="F87">
        <v>9600</v>
      </c>
      <c r="G87">
        <v>10000</v>
      </c>
      <c r="H87">
        <v>11000</v>
      </c>
      <c r="I87">
        <v>12000</v>
      </c>
      <c r="J87">
        <v>12000</v>
      </c>
      <c r="K87">
        <v>13000</v>
      </c>
      <c r="L87">
        <v>13000</v>
      </c>
      <c r="M87">
        <v>14000</v>
      </c>
    </row>
    <row r="88" spans="1:15" x14ac:dyDescent="0.25">
      <c r="A88" s="32" t="s">
        <v>163</v>
      </c>
      <c r="B88" s="21" t="s">
        <v>361</v>
      </c>
      <c r="C88">
        <v>500</v>
      </c>
      <c r="D88">
        <v>2600</v>
      </c>
      <c r="E88">
        <v>3100</v>
      </c>
      <c r="F88">
        <v>3700</v>
      </c>
      <c r="G88">
        <v>4400</v>
      </c>
      <c r="H88">
        <v>5100</v>
      </c>
      <c r="I88">
        <v>5800</v>
      </c>
      <c r="J88">
        <v>6500</v>
      </c>
      <c r="K88">
        <v>7300</v>
      </c>
      <c r="L88">
        <v>8100</v>
      </c>
      <c r="M88">
        <v>8800</v>
      </c>
    </row>
    <row r="89" spans="1:15" x14ac:dyDescent="0.25">
      <c r="A89" s="32" t="s">
        <v>162</v>
      </c>
      <c r="B89" s="21" t="s">
        <v>361</v>
      </c>
      <c r="C89">
        <v>160000</v>
      </c>
      <c r="D89">
        <v>180000</v>
      </c>
      <c r="E89">
        <v>180000</v>
      </c>
      <c r="F89">
        <v>180000</v>
      </c>
      <c r="G89">
        <v>190000</v>
      </c>
      <c r="H89">
        <v>190000</v>
      </c>
      <c r="I89">
        <v>200000</v>
      </c>
      <c r="J89">
        <v>200000</v>
      </c>
      <c r="K89">
        <v>210000</v>
      </c>
      <c r="L89">
        <v>220000</v>
      </c>
      <c r="M89">
        <v>220000</v>
      </c>
    </row>
    <row r="90" spans="1:15" x14ac:dyDescent="0.25">
      <c r="A90" s="32" t="s">
        <v>33</v>
      </c>
      <c r="B90" s="21" t="s">
        <v>356</v>
      </c>
      <c r="C90">
        <v>100</v>
      </c>
      <c r="D90">
        <v>100</v>
      </c>
      <c r="E90">
        <v>100</v>
      </c>
      <c r="F90">
        <v>200</v>
      </c>
      <c r="G90">
        <v>200</v>
      </c>
      <c r="H90">
        <v>200</v>
      </c>
      <c r="I90">
        <v>500</v>
      </c>
      <c r="J90">
        <v>500</v>
      </c>
      <c r="K90">
        <v>500</v>
      </c>
      <c r="L90">
        <v>500</v>
      </c>
      <c r="M90">
        <v>500</v>
      </c>
    </row>
    <row r="91" spans="1:15" x14ac:dyDescent="0.25">
      <c r="A91" s="32" t="s">
        <v>32</v>
      </c>
      <c r="B91" s="21" t="s">
        <v>356</v>
      </c>
      <c r="C91">
        <v>3400</v>
      </c>
      <c r="D91">
        <v>13000</v>
      </c>
      <c r="E91">
        <v>14000</v>
      </c>
      <c r="F91">
        <v>15000</v>
      </c>
      <c r="G91">
        <v>16000</v>
      </c>
      <c r="H91">
        <v>18000</v>
      </c>
      <c r="I91">
        <v>19000</v>
      </c>
      <c r="J91">
        <v>21000</v>
      </c>
      <c r="K91">
        <v>22000</v>
      </c>
      <c r="L91">
        <v>24000</v>
      </c>
      <c r="M91">
        <v>26000</v>
      </c>
    </row>
    <row r="92" spans="1:15" x14ac:dyDescent="0.25">
      <c r="A92" s="32" t="s">
        <v>80</v>
      </c>
      <c r="B92" s="21" t="s">
        <v>353</v>
      </c>
      <c r="C92">
        <v>76000</v>
      </c>
      <c r="D92">
        <v>750000</v>
      </c>
      <c r="E92">
        <v>850000</v>
      </c>
      <c r="F92">
        <v>940000</v>
      </c>
      <c r="G92">
        <v>1000000</v>
      </c>
      <c r="H92">
        <v>1100000</v>
      </c>
      <c r="I92">
        <v>120000</v>
      </c>
      <c r="J92">
        <v>1200000</v>
      </c>
      <c r="K92">
        <v>1300000</v>
      </c>
      <c r="L92">
        <v>1300000</v>
      </c>
      <c r="M92">
        <v>1400000</v>
      </c>
      <c r="O92">
        <f>ARV!C112/AIDS!L92</f>
        <v>9.8715384615384622E-2</v>
      </c>
    </row>
    <row r="93" spans="1:15" x14ac:dyDescent="0.25">
      <c r="A93" s="32" t="s">
        <v>79</v>
      </c>
      <c r="B93" s="21" t="s">
        <v>353</v>
      </c>
      <c r="C93">
        <v>58000</v>
      </c>
      <c r="D93">
        <v>240000</v>
      </c>
      <c r="E93">
        <v>250000</v>
      </c>
      <c r="F93">
        <v>250000</v>
      </c>
      <c r="G93">
        <v>250000</v>
      </c>
      <c r="H93">
        <v>250000</v>
      </c>
      <c r="I93">
        <v>250000</v>
      </c>
      <c r="J93">
        <v>250000</v>
      </c>
      <c r="K93">
        <v>240000</v>
      </c>
      <c r="L93">
        <v>240000</v>
      </c>
      <c r="M93">
        <v>240000</v>
      </c>
    </row>
    <row r="94" spans="1:15" x14ac:dyDescent="0.25">
      <c r="A94" s="32" t="s">
        <v>158</v>
      </c>
      <c r="B94" s="21" t="s">
        <v>361</v>
      </c>
      <c r="C94">
        <v>11000</v>
      </c>
      <c r="D94">
        <v>150000</v>
      </c>
      <c r="E94">
        <v>160000</v>
      </c>
      <c r="F94">
        <v>170000</v>
      </c>
      <c r="G94">
        <v>180000</v>
      </c>
      <c r="H94">
        <v>180000</v>
      </c>
      <c r="I94">
        <v>180000</v>
      </c>
      <c r="J94">
        <v>180000</v>
      </c>
      <c r="K94">
        <v>180000</v>
      </c>
      <c r="L94">
        <v>180000</v>
      </c>
      <c r="M94">
        <v>180000</v>
      </c>
      <c r="O94">
        <f>ARV!C114/AIDS!L94</f>
        <v>0.32986666666666664</v>
      </c>
    </row>
    <row r="95" spans="1:15" x14ac:dyDescent="0.25">
      <c r="A95" s="32" t="s">
        <v>78</v>
      </c>
      <c r="B95" s="21" t="s">
        <v>353</v>
      </c>
      <c r="C95">
        <v>20000</v>
      </c>
      <c r="D95">
        <v>58000</v>
      </c>
      <c r="E95">
        <v>60000</v>
      </c>
      <c r="F95">
        <v>62000</v>
      </c>
      <c r="G95">
        <v>63000</v>
      </c>
      <c r="H95">
        <v>64000</v>
      </c>
      <c r="I95">
        <v>64000</v>
      </c>
      <c r="J95">
        <v>64000</v>
      </c>
      <c r="K95">
        <v>64000</v>
      </c>
      <c r="L95">
        <v>64000</v>
      </c>
      <c r="M95">
        <v>64000</v>
      </c>
    </row>
    <row r="96" spans="1:15" x14ac:dyDescent="0.25">
      <c r="A96" s="32" t="s">
        <v>156</v>
      </c>
      <c r="B96" s="21" t="s">
        <v>366</v>
      </c>
      <c r="C96">
        <v>6500</v>
      </c>
      <c r="D96">
        <v>17000</v>
      </c>
      <c r="E96">
        <v>18000</v>
      </c>
      <c r="F96">
        <v>19000</v>
      </c>
      <c r="G96">
        <v>19000</v>
      </c>
      <c r="H96">
        <v>20000</v>
      </c>
      <c r="I96">
        <v>20000</v>
      </c>
      <c r="J96">
        <v>21000</v>
      </c>
      <c r="K96">
        <v>21000</v>
      </c>
      <c r="L96">
        <v>22000</v>
      </c>
      <c r="M96">
        <v>22000</v>
      </c>
    </row>
    <row r="97" spans="1:15" x14ac:dyDescent="0.25">
      <c r="A97" s="32" t="s">
        <v>155</v>
      </c>
      <c r="B97" s="21" t="s">
        <v>366</v>
      </c>
      <c r="C97">
        <v>1100</v>
      </c>
      <c r="D97">
        <v>1500</v>
      </c>
      <c r="E97">
        <v>1600</v>
      </c>
      <c r="F97">
        <v>1800</v>
      </c>
      <c r="G97">
        <v>1900</v>
      </c>
      <c r="H97">
        <v>2000</v>
      </c>
      <c r="I97">
        <v>2100</v>
      </c>
      <c r="J97">
        <v>2200</v>
      </c>
      <c r="K97">
        <v>2300</v>
      </c>
      <c r="L97">
        <v>2400</v>
      </c>
      <c r="M97">
        <v>2500</v>
      </c>
    </row>
    <row r="98" spans="1:15" x14ac:dyDescent="0.25">
      <c r="A98" s="32" t="s">
        <v>31</v>
      </c>
      <c r="B98" s="21" t="s">
        <v>356</v>
      </c>
      <c r="C98">
        <v>1000</v>
      </c>
      <c r="D98">
        <v>3400</v>
      </c>
      <c r="E98">
        <v>3700</v>
      </c>
      <c r="F98">
        <v>4100</v>
      </c>
      <c r="G98">
        <v>4500</v>
      </c>
      <c r="H98">
        <v>4800</v>
      </c>
      <c r="I98">
        <v>5200</v>
      </c>
      <c r="J98">
        <v>5600</v>
      </c>
      <c r="K98">
        <v>6000</v>
      </c>
      <c r="L98">
        <v>6400</v>
      </c>
      <c r="M98">
        <v>6900</v>
      </c>
    </row>
    <row r="99" spans="1:15" x14ac:dyDescent="0.25">
      <c r="A99" s="32" t="s">
        <v>77</v>
      </c>
      <c r="B99" s="21" t="s">
        <v>353</v>
      </c>
      <c r="C99">
        <v>3500</v>
      </c>
      <c r="D99">
        <v>51000</v>
      </c>
      <c r="E99">
        <v>53000</v>
      </c>
      <c r="F99">
        <v>54000</v>
      </c>
      <c r="G99">
        <v>55000</v>
      </c>
      <c r="H99">
        <v>56000</v>
      </c>
      <c r="I99">
        <v>57000</v>
      </c>
      <c r="J99">
        <v>58000</v>
      </c>
      <c r="K99">
        <v>59000</v>
      </c>
      <c r="L99">
        <v>60000</v>
      </c>
      <c r="M99">
        <v>61000</v>
      </c>
    </row>
    <row r="100" spans="1:15" x14ac:dyDescent="0.25">
      <c r="A100" s="32" t="s">
        <v>110</v>
      </c>
      <c r="B100" s="21" t="s">
        <v>823</v>
      </c>
      <c r="C100">
        <v>590000</v>
      </c>
      <c r="D100">
        <v>2600000</v>
      </c>
      <c r="E100">
        <v>2700000</v>
      </c>
      <c r="F100">
        <v>2800000</v>
      </c>
      <c r="G100">
        <v>2800000</v>
      </c>
      <c r="H100">
        <v>2900000</v>
      </c>
      <c r="I100">
        <v>2900000</v>
      </c>
      <c r="J100">
        <v>3000000</v>
      </c>
      <c r="K100">
        <v>3100000</v>
      </c>
      <c r="L100">
        <v>3200000</v>
      </c>
      <c r="M100">
        <v>3300000</v>
      </c>
      <c r="O100">
        <f>ARV!C120/AIDS!L100</f>
        <v>7.45809375E-2</v>
      </c>
    </row>
    <row r="101" spans="1:15" x14ac:dyDescent="0.25">
      <c r="A101" s="32" t="s">
        <v>153</v>
      </c>
      <c r="B101" s="21" t="s">
        <v>366</v>
      </c>
      <c r="C101">
        <v>1000</v>
      </c>
      <c r="D101">
        <v>2800</v>
      </c>
      <c r="E101">
        <v>3000</v>
      </c>
      <c r="F101">
        <v>3100</v>
      </c>
      <c r="G101">
        <v>3200</v>
      </c>
      <c r="H101">
        <v>3400</v>
      </c>
      <c r="I101">
        <v>3500</v>
      </c>
      <c r="J101">
        <v>3600</v>
      </c>
      <c r="K101">
        <v>3700</v>
      </c>
      <c r="L101">
        <v>3900</v>
      </c>
      <c r="M101">
        <v>4000</v>
      </c>
    </row>
    <row r="102" spans="1:15" x14ac:dyDescent="0.25">
      <c r="A102" s="32" t="s">
        <v>152</v>
      </c>
      <c r="B102" s="21" t="s">
        <v>366</v>
      </c>
      <c r="C102">
        <v>200</v>
      </c>
      <c r="D102">
        <v>500</v>
      </c>
      <c r="E102">
        <v>500</v>
      </c>
      <c r="F102">
        <v>500</v>
      </c>
      <c r="G102">
        <v>1000</v>
      </c>
      <c r="H102">
        <v>1000</v>
      </c>
      <c r="I102">
        <v>1000</v>
      </c>
      <c r="J102">
        <v>1000</v>
      </c>
      <c r="K102">
        <v>1000</v>
      </c>
      <c r="L102">
        <v>1000</v>
      </c>
      <c r="M102">
        <v>1100</v>
      </c>
    </row>
    <row r="103" spans="1:15" x14ac:dyDescent="0.25">
      <c r="A103" s="32" t="s">
        <v>151</v>
      </c>
      <c r="B103" s="21" t="s">
        <v>823</v>
      </c>
      <c r="C103">
        <v>2100</v>
      </c>
      <c r="D103">
        <v>32000</v>
      </c>
      <c r="E103">
        <v>39000</v>
      </c>
      <c r="F103">
        <v>47000</v>
      </c>
      <c r="G103">
        <v>56000</v>
      </c>
      <c r="H103">
        <v>68000</v>
      </c>
      <c r="I103">
        <v>77000</v>
      </c>
      <c r="J103">
        <v>83000</v>
      </c>
      <c r="K103">
        <v>89000</v>
      </c>
      <c r="L103">
        <v>93000</v>
      </c>
      <c r="M103">
        <v>98000</v>
      </c>
    </row>
    <row r="104" spans="1:15" x14ac:dyDescent="0.25">
      <c r="A104" s="32" t="s">
        <v>149</v>
      </c>
      <c r="B104" s="21" t="s">
        <v>361</v>
      </c>
      <c r="C104">
        <v>2900</v>
      </c>
      <c r="D104">
        <v>26000</v>
      </c>
      <c r="E104">
        <v>26000</v>
      </c>
      <c r="F104">
        <v>25000</v>
      </c>
      <c r="G104">
        <v>24000</v>
      </c>
      <c r="H104">
        <v>23000</v>
      </c>
      <c r="I104">
        <v>23000</v>
      </c>
      <c r="J104">
        <v>22000</v>
      </c>
      <c r="K104">
        <v>21000</v>
      </c>
      <c r="L104">
        <v>20000</v>
      </c>
      <c r="M104">
        <v>20000</v>
      </c>
    </row>
    <row r="105" spans="1:15" x14ac:dyDescent="0.25">
      <c r="A105" s="32" t="s">
        <v>109</v>
      </c>
      <c r="B105" s="21" t="s">
        <v>356</v>
      </c>
      <c r="C105">
        <v>1000</v>
      </c>
      <c r="D105">
        <v>11000</v>
      </c>
      <c r="E105">
        <v>14000</v>
      </c>
      <c r="F105">
        <v>18000</v>
      </c>
      <c r="G105">
        <v>21000</v>
      </c>
      <c r="H105">
        <v>24000</v>
      </c>
      <c r="I105">
        <v>27000</v>
      </c>
      <c r="J105">
        <v>29000</v>
      </c>
      <c r="K105">
        <v>31000</v>
      </c>
      <c r="L105">
        <v>32000</v>
      </c>
      <c r="M105">
        <v>34000</v>
      </c>
    </row>
    <row r="106" spans="1:15" x14ac:dyDescent="0.25">
      <c r="A106" s="32" t="s">
        <v>27</v>
      </c>
      <c r="B106" s="21" t="s">
        <v>356</v>
      </c>
      <c r="C106">
        <v>500</v>
      </c>
      <c r="D106">
        <v>8900</v>
      </c>
      <c r="E106">
        <v>9200</v>
      </c>
      <c r="F106">
        <v>9600</v>
      </c>
      <c r="G106">
        <v>9900</v>
      </c>
      <c r="H106">
        <v>10000</v>
      </c>
      <c r="I106">
        <v>11000</v>
      </c>
      <c r="J106">
        <v>11000</v>
      </c>
      <c r="K106">
        <v>12000</v>
      </c>
      <c r="L106">
        <v>12000</v>
      </c>
      <c r="M106">
        <v>13000</v>
      </c>
    </row>
    <row r="107" spans="1:15" x14ac:dyDescent="0.25">
      <c r="A107" s="32" t="s">
        <v>148</v>
      </c>
      <c r="B107" s="21" t="s">
        <v>361</v>
      </c>
      <c r="C107">
        <v>40000</v>
      </c>
      <c r="D107">
        <v>82000</v>
      </c>
      <c r="E107">
        <v>82000</v>
      </c>
      <c r="F107">
        <v>82000</v>
      </c>
      <c r="G107">
        <v>81000</v>
      </c>
      <c r="H107">
        <v>80000</v>
      </c>
      <c r="I107">
        <v>79000</v>
      </c>
      <c r="J107">
        <v>78000</v>
      </c>
      <c r="K107">
        <v>77000</v>
      </c>
      <c r="L107">
        <v>76000</v>
      </c>
      <c r="M107">
        <v>75000</v>
      </c>
    </row>
    <row r="108" spans="1:15" x14ac:dyDescent="0.25">
      <c r="A108" s="32" t="s">
        <v>26</v>
      </c>
      <c r="B108" s="21" t="s">
        <v>356</v>
      </c>
      <c r="C108">
        <v>100</v>
      </c>
      <c r="D108">
        <v>1400</v>
      </c>
      <c r="E108">
        <v>1700</v>
      </c>
      <c r="F108">
        <v>2000</v>
      </c>
      <c r="G108">
        <v>2400</v>
      </c>
      <c r="H108">
        <v>2900</v>
      </c>
      <c r="I108">
        <v>3600</v>
      </c>
      <c r="J108">
        <v>4400</v>
      </c>
      <c r="K108">
        <v>5500</v>
      </c>
      <c r="L108">
        <v>6800</v>
      </c>
      <c r="M108">
        <v>8700</v>
      </c>
    </row>
    <row r="109" spans="1:15" x14ac:dyDescent="0.25">
      <c r="A109" s="32" t="s">
        <v>147</v>
      </c>
      <c r="B109" s="21" t="s">
        <v>366</v>
      </c>
      <c r="C109">
        <v>6100</v>
      </c>
      <c r="D109">
        <v>20000</v>
      </c>
      <c r="E109">
        <v>21000</v>
      </c>
      <c r="F109">
        <v>22000</v>
      </c>
      <c r="G109">
        <v>23000</v>
      </c>
      <c r="H109">
        <v>23000</v>
      </c>
      <c r="I109">
        <v>24000</v>
      </c>
      <c r="J109">
        <v>25000</v>
      </c>
      <c r="K109">
        <v>25000</v>
      </c>
      <c r="L109">
        <v>26000</v>
      </c>
      <c r="M109">
        <v>27000</v>
      </c>
    </row>
    <row r="110" spans="1:15" x14ac:dyDescent="0.25">
      <c r="A110" s="32" t="s">
        <v>146</v>
      </c>
      <c r="B110" s="21" t="s">
        <v>366</v>
      </c>
      <c r="C110">
        <v>6500</v>
      </c>
      <c r="D110">
        <v>29000</v>
      </c>
      <c r="E110">
        <v>31000</v>
      </c>
      <c r="F110">
        <v>33000</v>
      </c>
      <c r="G110">
        <v>34000</v>
      </c>
      <c r="H110">
        <v>36000</v>
      </c>
      <c r="I110">
        <v>37000</v>
      </c>
      <c r="J110">
        <v>38000</v>
      </c>
      <c r="K110">
        <v>39000</v>
      </c>
      <c r="L110">
        <v>41000</v>
      </c>
      <c r="M110">
        <v>42000</v>
      </c>
    </row>
    <row r="111" spans="1:15" x14ac:dyDescent="0.25">
      <c r="A111" s="32" t="s">
        <v>145</v>
      </c>
      <c r="B111" s="21" t="s">
        <v>366</v>
      </c>
      <c r="C111">
        <v>100</v>
      </c>
      <c r="D111">
        <v>100</v>
      </c>
      <c r="E111">
        <v>100</v>
      </c>
      <c r="F111">
        <v>100</v>
      </c>
      <c r="G111">
        <v>100</v>
      </c>
      <c r="H111">
        <v>100</v>
      </c>
      <c r="I111">
        <v>100</v>
      </c>
      <c r="J111">
        <v>100</v>
      </c>
      <c r="K111">
        <v>100</v>
      </c>
      <c r="L111">
        <v>200</v>
      </c>
      <c r="M111">
        <v>200</v>
      </c>
    </row>
    <row r="112" spans="1:15" x14ac:dyDescent="0.25">
      <c r="A112" s="32" t="s">
        <v>144</v>
      </c>
      <c r="B112" s="21" t="s">
        <v>366</v>
      </c>
      <c r="C112">
        <v>2000</v>
      </c>
      <c r="D112">
        <v>4100</v>
      </c>
      <c r="E112">
        <v>5200</v>
      </c>
      <c r="F112">
        <v>6200</v>
      </c>
      <c r="G112">
        <v>7000</v>
      </c>
      <c r="H112">
        <v>7700</v>
      </c>
      <c r="I112">
        <v>8300</v>
      </c>
      <c r="J112">
        <v>8700</v>
      </c>
      <c r="K112">
        <v>9100</v>
      </c>
      <c r="L112">
        <v>9300</v>
      </c>
      <c r="M112">
        <v>9500</v>
      </c>
    </row>
    <row r="113" spans="1:15" x14ac:dyDescent="0.25">
      <c r="A113" s="32" t="s">
        <v>143</v>
      </c>
      <c r="B113" s="21" t="s">
        <v>356</v>
      </c>
      <c r="C113">
        <v>1300</v>
      </c>
      <c r="D113">
        <v>12000</v>
      </c>
      <c r="E113">
        <v>12000</v>
      </c>
      <c r="F113">
        <v>13000</v>
      </c>
      <c r="G113">
        <v>13000</v>
      </c>
      <c r="H113">
        <v>13000</v>
      </c>
      <c r="I113">
        <v>12000</v>
      </c>
      <c r="J113">
        <v>12000</v>
      </c>
      <c r="K113">
        <v>12000</v>
      </c>
      <c r="L113">
        <v>12000</v>
      </c>
      <c r="M113">
        <v>12000</v>
      </c>
    </row>
    <row r="114" spans="1:15" x14ac:dyDescent="0.25">
      <c r="A114" s="32" t="s">
        <v>142</v>
      </c>
      <c r="B114" s="21" t="s">
        <v>361</v>
      </c>
      <c r="C114">
        <v>3000</v>
      </c>
      <c r="D114">
        <v>15000</v>
      </c>
      <c r="E114">
        <v>16000</v>
      </c>
      <c r="F114">
        <v>16000</v>
      </c>
      <c r="G114">
        <v>16000</v>
      </c>
      <c r="H114">
        <v>17000</v>
      </c>
      <c r="I114">
        <v>17000</v>
      </c>
      <c r="J114">
        <v>17000</v>
      </c>
      <c r="K114">
        <v>16000</v>
      </c>
      <c r="L114">
        <v>16000</v>
      </c>
      <c r="M114">
        <v>16000</v>
      </c>
    </row>
    <row r="115" spans="1:15" x14ac:dyDescent="0.25">
      <c r="A115" s="32" t="s">
        <v>141</v>
      </c>
      <c r="B115" s="21" t="s">
        <v>361</v>
      </c>
      <c r="C115">
        <v>100</v>
      </c>
      <c r="D115">
        <v>240000</v>
      </c>
      <c r="E115">
        <v>430000</v>
      </c>
      <c r="F115">
        <v>590000</v>
      </c>
      <c r="G115">
        <v>710000</v>
      </c>
      <c r="H115">
        <v>780000</v>
      </c>
      <c r="I115">
        <v>820000</v>
      </c>
      <c r="J115">
        <v>860000</v>
      </c>
      <c r="K115">
        <v>900000</v>
      </c>
      <c r="L115">
        <v>940000</v>
      </c>
      <c r="M115">
        <v>980000</v>
      </c>
    </row>
    <row r="116" spans="1:15" x14ac:dyDescent="0.25">
      <c r="A116" s="32" t="s">
        <v>76</v>
      </c>
      <c r="B116" s="21" t="s">
        <v>353</v>
      </c>
      <c r="C116">
        <v>160000</v>
      </c>
      <c r="D116">
        <v>170000</v>
      </c>
      <c r="E116">
        <v>170000</v>
      </c>
      <c r="F116">
        <v>170000</v>
      </c>
      <c r="G116">
        <v>170000</v>
      </c>
      <c r="H116">
        <v>170000</v>
      </c>
      <c r="I116">
        <v>160000</v>
      </c>
      <c r="J116">
        <v>160000</v>
      </c>
      <c r="K116">
        <v>160000</v>
      </c>
      <c r="L116">
        <v>160000</v>
      </c>
      <c r="M116">
        <v>170000</v>
      </c>
      <c r="O116">
        <f>ARV!C136/AIDS!L116</f>
        <v>0.39468124999999998</v>
      </c>
    </row>
    <row r="117" spans="1:15" x14ac:dyDescent="0.25">
      <c r="A117" s="32" t="s">
        <v>23</v>
      </c>
      <c r="B117" s="21" t="s">
        <v>356</v>
      </c>
      <c r="C117">
        <v>5600</v>
      </c>
      <c r="D117">
        <v>30000</v>
      </c>
      <c r="E117">
        <v>33000</v>
      </c>
      <c r="F117">
        <v>36000</v>
      </c>
      <c r="G117">
        <v>40000</v>
      </c>
      <c r="H117">
        <v>43000</v>
      </c>
      <c r="I117">
        <v>47000</v>
      </c>
      <c r="J117">
        <v>50000</v>
      </c>
      <c r="K117">
        <v>53000</v>
      </c>
      <c r="L117">
        <v>56000</v>
      </c>
      <c r="M117">
        <v>59000</v>
      </c>
    </row>
    <row r="118" spans="1:15" x14ac:dyDescent="0.25">
      <c r="A118" s="32" t="s">
        <v>135</v>
      </c>
      <c r="B118" s="21" t="s">
        <v>361</v>
      </c>
      <c r="C118">
        <v>3100</v>
      </c>
      <c r="D118">
        <v>1800</v>
      </c>
      <c r="E118">
        <v>1900</v>
      </c>
      <c r="F118">
        <v>2300</v>
      </c>
      <c r="G118">
        <v>2900</v>
      </c>
      <c r="H118">
        <v>3500</v>
      </c>
      <c r="I118">
        <v>4000</v>
      </c>
      <c r="J118">
        <v>4300</v>
      </c>
      <c r="K118">
        <v>4500</v>
      </c>
      <c r="L118">
        <v>4700</v>
      </c>
      <c r="M118">
        <v>4900</v>
      </c>
    </row>
    <row r="119" spans="1:15" x14ac:dyDescent="0.25">
      <c r="A119" s="32" t="s">
        <v>75</v>
      </c>
      <c r="B119" s="21" t="s">
        <v>353</v>
      </c>
      <c r="C119">
        <v>500</v>
      </c>
      <c r="D119">
        <v>21000</v>
      </c>
      <c r="E119">
        <v>25000</v>
      </c>
      <c r="F119">
        <v>29000</v>
      </c>
      <c r="G119">
        <v>33000</v>
      </c>
      <c r="H119">
        <v>37000</v>
      </c>
      <c r="I119">
        <v>40000</v>
      </c>
      <c r="J119">
        <v>43000</v>
      </c>
      <c r="K119">
        <v>46000</v>
      </c>
      <c r="L119">
        <v>47000</v>
      </c>
      <c r="M119">
        <v>49000</v>
      </c>
    </row>
    <row r="120" spans="1:15" x14ac:dyDescent="0.25">
      <c r="A120" s="32" t="s">
        <v>133</v>
      </c>
      <c r="B120" s="21" t="s">
        <v>366</v>
      </c>
      <c r="C120">
        <v>1000</v>
      </c>
      <c r="D120">
        <v>2700</v>
      </c>
      <c r="E120">
        <v>2800</v>
      </c>
      <c r="F120">
        <v>2800</v>
      </c>
      <c r="G120">
        <v>2900</v>
      </c>
      <c r="H120">
        <v>2900</v>
      </c>
      <c r="I120">
        <v>3000</v>
      </c>
      <c r="J120">
        <v>3100</v>
      </c>
      <c r="K120">
        <v>3200</v>
      </c>
      <c r="L120">
        <v>3300</v>
      </c>
      <c r="M120">
        <v>3400</v>
      </c>
    </row>
    <row r="121" spans="1:15" x14ac:dyDescent="0.25">
      <c r="A121" s="32" t="s">
        <v>132</v>
      </c>
      <c r="B121" s="21" t="s">
        <v>366</v>
      </c>
      <c r="C121">
        <v>100</v>
      </c>
      <c r="D121">
        <v>200</v>
      </c>
      <c r="E121">
        <v>200</v>
      </c>
      <c r="F121">
        <v>200</v>
      </c>
      <c r="G121">
        <v>200</v>
      </c>
      <c r="H121">
        <v>200</v>
      </c>
      <c r="I121">
        <v>200</v>
      </c>
      <c r="J121">
        <v>200</v>
      </c>
      <c r="K121">
        <v>200</v>
      </c>
      <c r="L121">
        <v>200</v>
      </c>
      <c r="M121">
        <v>500</v>
      </c>
    </row>
    <row r="122" spans="1:15" x14ac:dyDescent="0.25">
      <c r="A122" s="32" t="s">
        <v>131</v>
      </c>
      <c r="B122" s="21" t="s">
        <v>366</v>
      </c>
      <c r="C122">
        <v>100</v>
      </c>
      <c r="D122">
        <v>500</v>
      </c>
      <c r="E122">
        <v>500</v>
      </c>
      <c r="F122">
        <v>500</v>
      </c>
      <c r="G122">
        <v>500</v>
      </c>
      <c r="H122">
        <v>500</v>
      </c>
      <c r="I122">
        <v>500</v>
      </c>
      <c r="J122">
        <v>500</v>
      </c>
      <c r="K122">
        <v>500</v>
      </c>
      <c r="L122">
        <v>500</v>
      </c>
      <c r="M122">
        <v>1000</v>
      </c>
    </row>
    <row r="123" spans="1:15" x14ac:dyDescent="0.25">
      <c r="A123" s="32" t="s">
        <v>130</v>
      </c>
      <c r="B123" s="21" t="s">
        <v>353</v>
      </c>
      <c r="C123">
        <v>2100</v>
      </c>
      <c r="D123">
        <v>9200</v>
      </c>
      <c r="E123">
        <v>11000</v>
      </c>
      <c r="F123">
        <v>12000</v>
      </c>
      <c r="G123">
        <v>14000</v>
      </c>
      <c r="H123">
        <v>17000</v>
      </c>
      <c r="I123">
        <v>19000</v>
      </c>
      <c r="J123">
        <v>22000</v>
      </c>
      <c r="K123">
        <v>26000</v>
      </c>
      <c r="L123">
        <v>30000</v>
      </c>
      <c r="M123">
        <v>34000</v>
      </c>
    </row>
    <row r="124" spans="1:15" x14ac:dyDescent="0.25">
      <c r="A124" s="32" t="s">
        <v>129</v>
      </c>
      <c r="B124" s="21" t="s">
        <v>361</v>
      </c>
      <c r="C124">
        <v>140000</v>
      </c>
      <c r="D124">
        <v>4200000</v>
      </c>
      <c r="E124">
        <v>4600000</v>
      </c>
      <c r="F124">
        <v>490000</v>
      </c>
      <c r="G124">
        <v>5100000</v>
      </c>
      <c r="H124">
        <v>5200000</v>
      </c>
      <c r="I124">
        <v>5300000</v>
      </c>
      <c r="J124">
        <v>5400000</v>
      </c>
      <c r="K124">
        <v>5500000</v>
      </c>
      <c r="L124">
        <v>5600000</v>
      </c>
      <c r="M124">
        <v>5600000</v>
      </c>
      <c r="O124">
        <f>ARV!C150/AIDS!L124</f>
        <v>0.13038982142857142</v>
      </c>
    </row>
    <row r="125" spans="1:15" x14ac:dyDescent="0.25">
      <c r="A125" s="32" t="s">
        <v>128</v>
      </c>
      <c r="B125" s="21" t="s">
        <v>366</v>
      </c>
      <c r="C125">
        <v>81000</v>
      </c>
      <c r="D125">
        <v>110000</v>
      </c>
      <c r="E125">
        <v>12000</v>
      </c>
      <c r="F125">
        <v>120000</v>
      </c>
      <c r="G125">
        <v>120000</v>
      </c>
      <c r="H125">
        <v>120000</v>
      </c>
      <c r="I125">
        <v>120000</v>
      </c>
      <c r="J125">
        <v>130000</v>
      </c>
      <c r="K125">
        <v>130000</v>
      </c>
      <c r="L125">
        <v>130000</v>
      </c>
      <c r="M125">
        <v>13000</v>
      </c>
    </row>
    <row r="126" spans="1:15" x14ac:dyDescent="0.25">
      <c r="A126" s="32" t="s">
        <v>22</v>
      </c>
      <c r="B126" s="21" t="s">
        <v>356</v>
      </c>
      <c r="C126">
        <v>100</v>
      </c>
      <c r="D126">
        <v>1100</v>
      </c>
      <c r="E126">
        <v>1300</v>
      </c>
      <c r="F126">
        <v>1600</v>
      </c>
      <c r="G126">
        <v>1800</v>
      </c>
      <c r="H126">
        <v>2000</v>
      </c>
      <c r="I126">
        <v>2100</v>
      </c>
      <c r="J126">
        <v>2300</v>
      </c>
      <c r="K126">
        <v>2500</v>
      </c>
      <c r="L126">
        <v>2600</v>
      </c>
      <c r="M126">
        <v>2800</v>
      </c>
    </row>
    <row r="127" spans="1:15" x14ac:dyDescent="0.25">
      <c r="A127" s="32" t="s">
        <v>21</v>
      </c>
      <c r="B127" s="21" t="s">
        <v>356</v>
      </c>
      <c r="C127">
        <v>12000</v>
      </c>
      <c r="D127">
        <v>61000</v>
      </c>
      <c r="E127">
        <v>72000</v>
      </c>
      <c r="F127">
        <v>85000</v>
      </c>
      <c r="G127">
        <v>99000</v>
      </c>
      <c r="H127">
        <v>120000</v>
      </c>
      <c r="I127">
        <v>140000</v>
      </c>
      <c r="J127">
        <v>160000</v>
      </c>
      <c r="K127">
        <v>190000</v>
      </c>
      <c r="L127">
        <v>220000</v>
      </c>
      <c r="M127">
        <v>260000</v>
      </c>
      <c r="O127">
        <f>ARV!C153/AIDS!L127</f>
        <v>5.2318181818181821E-3</v>
      </c>
    </row>
    <row r="128" spans="1:15" x14ac:dyDescent="0.25">
      <c r="A128" s="32" t="s">
        <v>127</v>
      </c>
      <c r="B128" s="21" t="s">
        <v>361</v>
      </c>
      <c r="C128">
        <v>500</v>
      </c>
      <c r="D128">
        <v>3200</v>
      </c>
      <c r="E128">
        <v>3300</v>
      </c>
      <c r="F128">
        <v>3400</v>
      </c>
      <c r="G128">
        <v>3500</v>
      </c>
      <c r="H128">
        <v>3600</v>
      </c>
      <c r="I128">
        <v>3700</v>
      </c>
      <c r="J128">
        <v>3700</v>
      </c>
      <c r="K128">
        <v>3700</v>
      </c>
      <c r="L128">
        <v>3700</v>
      </c>
      <c r="M128">
        <v>3700</v>
      </c>
    </row>
    <row r="129" spans="1:15" x14ac:dyDescent="0.25">
      <c r="A129" s="32" t="s">
        <v>20</v>
      </c>
      <c r="B129" s="21" t="s">
        <v>356</v>
      </c>
      <c r="C129">
        <v>9000</v>
      </c>
      <c r="D129">
        <v>120000</v>
      </c>
      <c r="E129">
        <v>130000</v>
      </c>
      <c r="F129">
        <v>140000</v>
      </c>
      <c r="G129">
        <v>150000</v>
      </c>
      <c r="H129">
        <v>160000</v>
      </c>
      <c r="I129">
        <v>160000</v>
      </c>
      <c r="J129">
        <v>170000</v>
      </c>
      <c r="K129">
        <v>170000</v>
      </c>
      <c r="L129">
        <v>180000</v>
      </c>
      <c r="M129">
        <v>180000</v>
      </c>
      <c r="O129">
        <f>ARV!C155/AIDS!L129</f>
        <v>0.18167222222222223</v>
      </c>
    </row>
    <row r="130" spans="1:15" x14ac:dyDescent="0.25">
      <c r="A130" s="32" t="s">
        <v>126</v>
      </c>
      <c r="B130" s="21" t="s">
        <v>366</v>
      </c>
      <c r="C130">
        <v>2800</v>
      </c>
      <c r="D130">
        <v>6100</v>
      </c>
      <c r="E130">
        <v>6300</v>
      </c>
      <c r="F130">
        <v>6600</v>
      </c>
      <c r="G130">
        <v>6800</v>
      </c>
      <c r="H130">
        <v>7100</v>
      </c>
      <c r="I130">
        <v>7300</v>
      </c>
      <c r="J130">
        <v>7500</v>
      </c>
      <c r="K130">
        <v>7700</v>
      </c>
      <c r="L130">
        <v>7900</v>
      </c>
      <c r="M130">
        <v>8100</v>
      </c>
    </row>
    <row r="131" spans="1:15" x14ac:dyDescent="0.25">
      <c r="A131" s="32" t="s">
        <v>125</v>
      </c>
      <c r="B131" s="21" t="s">
        <v>366</v>
      </c>
      <c r="C131">
        <v>7700</v>
      </c>
      <c r="D131">
        <v>13000</v>
      </c>
      <c r="E131">
        <v>13000</v>
      </c>
      <c r="F131">
        <v>14000</v>
      </c>
      <c r="G131">
        <v>14000</v>
      </c>
      <c r="H131">
        <v>15000</v>
      </c>
      <c r="I131">
        <v>16000</v>
      </c>
      <c r="J131">
        <v>16000</v>
      </c>
      <c r="K131">
        <v>17000</v>
      </c>
      <c r="L131">
        <v>18000</v>
      </c>
      <c r="M131">
        <v>18000</v>
      </c>
    </row>
    <row r="132" spans="1:15" x14ac:dyDescent="0.25">
      <c r="A132" s="32" t="s">
        <v>72</v>
      </c>
      <c r="B132" s="21" t="s">
        <v>353</v>
      </c>
      <c r="C132">
        <v>1000</v>
      </c>
      <c r="D132">
        <v>3600</v>
      </c>
      <c r="E132">
        <v>4100</v>
      </c>
      <c r="F132">
        <v>4600</v>
      </c>
      <c r="G132">
        <v>5100</v>
      </c>
      <c r="H132">
        <v>5600</v>
      </c>
      <c r="I132">
        <v>6200</v>
      </c>
      <c r="J132">
        <v>6900</v>
      </c>
      <c r="K132">
        <v>7500</v>
      </c>
      <c r="L132">
        <v>83000</v>
      </c>
      <c r="M132">
        <v>9100</v>
      </c>
    </row>
    <row r="133" spans="1:15" x14ac:dyDescent="0.25">
      <c r="A133" s="32" t="s">
        <v>18</v>
      </c>
      <c r="B133" s="21" t="s">
        <v>361</v>
      </c>
      <c r="C133">
        <v>320000</v>
      </c>
      <c r="D133">
        <v>660000</v>
      </c>
      <c r="E133">
        <v>640000</v>
      </c>
      <c r="F133">
        <v>610000</v>
      </c>
      <c r="G133">
        <v>590000</v>
      </c>
      <c r="H133">
        <v>580000</v>
      </c>
      <c r="I133">
        <v>580000</v>
      </c>
      <c r="J133">
        <v>580000</v>
      </c>
      <c r="K133">
        <v>56000</v>
      </c>
      <c r="L133">
        <v>550000</v>
      </c>
      <c r="M133">
        <v>530000</v>
      </c>
    </row>
    <row r="134" spans="1:15" x14ac:dyDescent="0.25">
      <c r="A134" s="32" t="s">
        <v>70</v>
      </c>
      <c r="B134" s="21" t="s">
        <v>353</v>
      </c>
      <c r="C134">
        <v>11000</v>
      </c>
      <c r="D134">
        <v>99000</v>
      </c>
      <c r="E134">
        <v>100000</v>
      </c>
      <c r="F134">
        <v>110000</v>
      </c>
      <c r="G134">
        <v>110000</v>
      </c>
      <c r="H134">
        <v>110000</v>
      </c>
      <c r="I134">
        <v>120000</v>
      </c>
      <c r="J134">
        <v>120000</v>
      </c>
      <c r="K134">
        <v>120000</v>
      </c>
      <c r="L134">
        <v>120000</v>
      </c>
      <c r="M134">
        <v>120000</v>
      </c>
    </row>
    <row r="135" spans="1:15" x14ac:dyDescent="0.25">
      <c r="A135" s="32" t="s">
        <v>123</v>
      </c>
      <c r="B135" s="21" t="s">
        <v>366</v>
      </c>
      <c r="C135">
        <v>1700</v>
      </c>
      <c r="D135">
        <v>9900</v>
      </c>
      <c r="E135">
        <v>10000</v>
      </c>
      <c r="F135">
        <v>11000</v>
      </c>
      <c r="G135">
        <v>11000</v>
      </c>
      <c r="H135">
        <v>12000</v>
      </c>
      <c r="I135">
        <v>12000</v>
      </c>
      <c r="J135">
        <v>13000</v>
      </c>
      <c r="K135">
        <v>13000</v>
      </c>
      <c r="L135">
        <v>14000</v>
      </c>
      <c r="M135">
        <v>15000</v>
      </c>
    </row>
    <row r="136" spans="1:15" x14ac:dyDescent="0.25">
      <c r="A136" s="32" t="s">
        <v>15</v>
      </c>
      <c r="B136" s="21" t="s">
        <v>361</v>
      </c>
      <c r="C136">
        <v>200</v>
      </c>
      <c r="D136">
        <v>1000</v>
      </c>
      <c r="E136">
        <v>1000</v>
      </c>
      <c r="F136">
        <v>1000</v>
      </c>
      <c r="G136">
        <v>1100</v>
      </c>
      <c r="H136">
        <v>1200</v>
      </c>
      <c r="I136">
        <v>1400</v>
      </c>
      <c r="J136">
        <v>1600</v>
      </c>
      <c r="K136">
        <v>1900</v>
      </c>
      <c r="L136">
        <v>2100</v>
      </c>
      <c r="M136">
        <v>2400</v>
      </c>
    </row>
    <row r="137" spans="1:15" x14ac:dyDescent="0.25">
      <c r="A137" s="32" t="s">
        <v>122</v>
      </c>
      <c r="B137" s="21" t="s">
        <v>361</v>
      </c>
      <c r="C137">
        <v>200</v>
      </c>
      <c r="D137">
        <v>1500</v>
      </c>
      <c r="E137">
        <v>1700</v>
      </c>
      <c r="F137">
        <v>2000</v>
      </c>
      <c r="G137">
        <v>2300</v>
      </c>
      <c r="H137">
        <v>2700</v>
      </c>
      <c r="I137">
        <v>3000</v>
      </c>
      <c r="J137">
        <v>3300</v>
      </c>
      <c r="K137">
        <v>3900</v>
      </c>
      <c r="L137">
        <v>4300</v>
      </c>
      <c r="M137">
        <v>4600</v>
      </c>
    </row>
    <row r="138" spans="1:15" x14ac:dyDescent="0.25">
      <c r="A138" s="32" t="s">
        <v>69</v>
      </c>
      <c r="B138" s="21" t="s">
        <v>353</v>
      </c>
      <c r="C138">
        <v>870000</v>
      </c>
      <c r="D138">
        <v>980000</v>
      </c>
      <c r="E138">
        <v>980000</v>
      </c>
      <c r="F138">
        <v>990000</v>
      </c>
      <c r="G138">
        <v>1000000</v>
      </c>
      <c r="H138">
        <v>1000000</v>
      </c>
      <c r="I138">
        <v>1000000</v>
      </c>
      <c r="J138">
        <v>1100000</v>
      </c>
      <c r="K138">
        <v>1100000</v>
      </c>
      <c r="L138">
        <v>1100000</v>
      </c>
      <c r="M138">
        <v>1200000</v>
      </c>
      <c r="O138">
        <f>ARV!C169/AIDS!L138</f>
        <v>0.13974363636363638</v>
      </c>
    </row>
    <row r="139" spans="1:15" x14ac:dyDescent="0.25">
      <c r="A139" s="32" t="s">
        <v>11</v>
      </c>
      <c r="B139" s="21" t="s">
        <v>356</v>
      </c>
      <c r="C139">
        <v>40000</v>
      </c>
      <c r="D139">
        <v>270000</v>
      </c>
      <c r="E139">
        <v>290000</v>
      </c>
      <c r="F139">
        <v>310000</v>
      </c>
      <c r="G139">
        <v>330000</v>
      </c>
      <c r="H139">
        <v>340000</v>
      </c>
      <c r="I139">
        <v>350000</v>
      </c>
      <c r="J139">
        <v>350000</v>
      </c>
      <c r="K139">
        <v>350000</v>
      </c>
      <c r="L139">
        <v>350000</v>
      </c>
      <c r="M139">
        <v>350000</v>
      </c>
    </row>
    <row r="140" spans="1:15" x14ac:dyDescent="0.25">
      <c r="A140" s="32" t="s">
        <v>119</v>
      </c>
      <c r="B140" s="21" t="s">
        <v>366</v>
      </c>
      <c r="C140">
        <v>21000</v>
      </c>
      <c r="D140">
        <v>39000</v>
      </c>
      <c r="E140">
        <v>43000</v>
      </c>
      <c r="F140">
        <v>51000</v>
      </c>
      <c r="G140">
        <v>55000</v>
      </c>
      <c r="H140">
        <v>61000</v>
      </c>
      <c r="I140">
        <v>66000</v>
      </c>
      <c r="J140">
        <v>72000</v>
      </c>
      <c r="K140">
        <v>77000</v>
      </c>
      <c r="L140">
        <v>82000</v>
      </c>
      <c r="M140">
        <v>85000</v>
      </c>
    </row>
    <row r="141" spans="1:15" x14ac:dyDescent="0.25">
      <c r="A141" s="32" t="s">
        <v>118</v>
      </c>
      <c r="B141" s="21" t="s">
        <v>353</v>
      </c>
      <c r="C141">
        <v>600000</v>
      </c>
      <c r="D141">
        <v>1400000</v>
      </c>
      <c r="E141">
        <v>1400000</v>
      </c>
      <c r="F141">
        <v>1400000</v>
      </c>
      <c r="G141">
        <v>1400000</v>
      </c>
      <c r="H141">
        <v>1400000</v>
      </c>
      <c r="I141">
        <v>1400000</v>
      </c>
      <c r="J141">
        <v>1400000</v>
      </c>
      <c r="K141">
        <v>1400000</v>
      </c>
      <c r="L141">
        <v>1400000</v>
      </c>
      <c r="M141">
        <v>1400000</v>
      </c>
      <c r="O141">
        <f>ARV!C173/AIDS!L142</f>
        <v>0.12872333333333333</v>
      </c>
    </row>
    <row r="142" spans="1:15" x14ac:dyDescent="0.25">
      <c r="A142" s="32" t="s">
        <v>117</v>
      </c>
      <c r="B142" s="21" t="s">
        <v>366</v>
      </c>
      <c r="C142">
        <v>730000</v>
      </c>
      <c r="D142">
        <v>900000</v>
      </c>
      <c r="E142">
        <v>900000</v>
      </c>
      <c r="F142">
        <v>970000</v>
      </c>
      <c r="G142">
        <v>1000000</v>
      </c>
      <c r="H142">
        <v>1000000</v>
      </c>
      <c r="I142">
        <v>1100000</v>
      </c>
      <c r="J142">
        <v>1100000</v>
      </c>
      <c r="K142">
        <v>1200000</v>
      </c>
      <c r="L142">
        <v>1200000</v>
      </c>
      <c r="M142">
        <v>1200000</v>
      </c>
    </row>
    <row r="143" spans="1:15" x14ac:dyDescent="0.25">
      <c r="A143" s="32" t="s">
        <v>116</v>
      </c>
      <c r="B143" s="21" t="s">
        <v>361</v>
      </c>
      <c r="C143">
        <v>1800</v>
      </c>
      <c r="D143">
        <v>6000</v>
      </c>
      <c r="E143">
        <v>7000</v>
      </c>
      <c r="F143">
        <v>7700</v>
      </c>
      <c r="G143">
        <v>8300</v>
      </c>
      <c r="H143">
        <v>8800</v>
      </c>
      <c r="I143">
        <v>9200</v>
      </c>
      <c r="J143">
        <v>9500</v>
      </c>
      <c r="K143">
        <v>9700</v>
      </c>
      <c r="L143">
        <v>9800</v>
      </c>
      <c r="M143">
        <v>9900</v>
      </c>
    </row>
    <row r="144" spans="1:15" x14ac:dyDescent="0.25">
      <c r="A144" s="32" t="s">
        <v>9</v>
      </c>
      <c r="B144" s="21" t="s">
        <v>356</v>
      </c>
      <c r="C144">
        <v>100</v>
      </c>
      <c r="D144">
        <v>500</v>
      </c>
      <c r="E144">
        <v>1000</v>
      </c>
      <c r="F144">
        <v>1500</v>
      </c>
      <c r="G144">
        <v>2700</v>
      </c>
      <c r="H144">
        <v>4700</v>
      </c>
      <c r="I144">
        <v>7900</v>
      </c>
      <c r="J144">
        <v>12000</v>
      </c>
      <c r="K144">
        <v>18000</v>
      </c>
      <c r="L144">
        <v>23000</v>
      </c>
      <c r="M144">
        <v>28000</v>
      </c>
    </row>
    <row r="145" spans="1:15" x14ac:dyDescent="0.25">
      <c r="A145" s="32" t="s">
        <v>114</v>
      </c>
      <c r="B145" s="21" t="s">
        <v>356</v>
      </c>
      <c r="C145">
        <v>120000</v>
      </c>
      <c r="D145">
        <v>110000</v>
      </c>
      <c r="E145">
        <v>140000</v>
      </c>
      <c r="F145">
        <v>160000</v>
      </c>
      <c r="G145">
        <v>1900000</v>
      </c>
      <c r="H145">
        <v>210000</v>
      </c>
      <c r="I145">
        <v>230000</v>
      </c>
      <c r="J145">
        <v>240000</v>
      </c>
      <c r="K145">
        <v>260000</v>
      </c>
      <c r="L145">
        <v>270000</v>
      </c>
      <c r="M145">
        <v>280000</v>
      </c>
    </row>
    <row r="146" spans="1:15" x14ac:dyDescent="0.25">
      <c r="A146" s="32" t="s">
        <v>68</v>
      </c>
      <c r="B146" s="21" t="s">
        <v>356</v>
      </c>
      <c r="C146">
        <v>500000</v>
      </c>
      <c r="D146">
        <v>810000</v>
      </c>
      <c r="E146">
        <v>830000</v>
      </c>
      <c r="F146">
        <v>840000</v>
      </c>
      <c r="G146">
        <v>860000</v>
      </c>
      <c r="H146">
        <v>880000</v>
      </c>
      <c r="I146">
        <v>890000</v>
      </c>
      <c r="J146">
        <v>910000</v>
      </c>
      <c r="K146">
        <v>94000</v>
      </c>
      <c r="L146">
        <v>960000</v>
      </c>
      <c r="M146">
        <v>980000</v>
      </c>
      <c r="O146">
        <f>ARV!C181/AIDS!L146</f>
        <v>0.22872500000000001</v>
      </c>
    </row>
    <row r="147" spans="1:15" x14ac:dyDescent="0.25">
      <c r="A147" s="29" t="s">
        <v>67</v>
      </c>
      <c r="B147" s="28" t="s">
        <v>353</v>
      </c>
      <c r="C147">
        <v>510000</v>
      </c>
      <c r="D147">
        <v>1700000</v>
      </c>
      <c r="E147">
        <v>1700000</v>
      </c>
      <c r="F147">
        <v>1600000</v>
      </c>
      <c r="G147">
        <v>1600000</v>
      </c>
      <c r="H147">
        <v>1500000</v>
      </c>
      <c r="I147">
        <v>1400000</v>
      </c>
      <c r="J147">
        <v>1400000</v>
      </c>
      <c r="K147">
        <v>1300000</v>
      </c>
      <c r="L147">
        <v>1200000</v>
      </c>
      <c r="M147">
        <v>1200000</v>
      </c>
      <c r="O147">
        <f>ARV!C182/AIDS!L147</f>
        <v>0.12345333333333333</v>
      </c>
    </row>
  </sheetData>
  <autoFilter ref="A1:M149"/>
  <pageMargins left="0.7" right="0.7" top="0.75" bottom="0.75" header="0.3" footer="0.3"/>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C4:P67"/>
  <sheetViews>
    <sheetView topLeftCell="B1" workbookViewId="0">
      <selection activeCell="M5" sqref="M5"/>
    </sheetView>
  </sheetViews>
  <sheetFormatPr defaultRowHeight="15" x14ac:dyDescent="0.25"/>
  <cols>
    <col min="3" max="3" width="20.42578125" bestFit="1" customWidth="1"/>
    <col min="4" max="4" width="20.42578125" customWidth="1"/>
    <col min="5" max="5" width="14.5703125" bestFit="1" customWidth="1"/>
    <col min="6" max="7" width="14.5703125" customWidth="1"/>
    <col min="8" max="9" width="11" bestFit="1" customWidth="1"/>
    <col min="11" max="11" width="29" bestFit="1" customWidth="1"/>
    <col min="12" max="12" width="29.28515625" bestFit="1" customWidth="1"/>
    <col min="13" max="13" width="13.5703125" bestFit="1" customWidth="1"/>
    <col min="15" max="15" width="13.28515625" bestFit="1" customWidth="1"/>
  </cols>
  <sheetData>
    <row r="4" spans="3:16" x14ac:dyDescent="0.25">
      <c r="C4" s="1"/>
      <c r="D4" s="1">
        <v>1990</v>
      </c>
      <c r="E4" s="1">
        <v>2009</v>
      </c>
      <c r="F4" s="1">
        <v>1990</v>
      </c>
      <c r="G4" s="1">
        <v>2009</v>
      </c>
      <c r="H4" s="1">
        <v>1990</v>
      </c>
      <c r="I4" s="1">
        <v>2010</v>
      </c>
      <c r="K4" s="1" t="s">
        <v>826</v>
      </c>
      <c r="L4" s="1" t="s">
        <v>662</v>
      </c>
      <c r="M4" s="1" t="s">
        <v>827</v>
      </c>
      <c r="O4" s="84"/>
    </row>
    <row r="5" spans="3:16" x14ac:dyDescent="0.25">
      <c r="C5" s="1" t="s">
        <v>353</v>
      </c>
      <c r="D5" s="7">
        <v>3493600</v>
      </c>
      <c r="E5" s="7">
        <v>9537700</v>
      </c>
      <c r="F5" s="7">
        <v>2062350</v>
      </c>
      <c r="G5" s="7">
        <v>3501860</v>
      </c>
      <c r="H5" s="7">
        <v>253191</v>
      </c>
      <c r="I5" s="86">
        <v>155738</v>
      </c>
      <c r="K5" s="88">
        <v>5476879</v>
      </c>
      <c r="L5" s="7">
        <v>1399758</v>
      </c>
      <c r="M5" s="7">
        <f>E5-L5</f>
        <v>8137942</v>
      </c>
      <c r="O5" s="84"/>
    </row>
    <row r="6" spans="3:16" x14ac:dyDescent="0.25">
      <c r="C6" s="1" t="s">
        <v>356</v>
      </c>
      <c r="D6" s="7">
        <v>1096900</v>
      </c>
      <c r="E6" s="7">
        <v>3890500</v>
      </c>
      <c r="F6" s="7">
        <v>1578754</v>
      </c>
      <c r="G6" s="7">
        <v>1735994</v>
      </c>
      <c r="H6" s="86">
        <v>240848</v>
      </c>
      <c r="I6" s="85">
        <v>28894</v>
      </c>
      <c r="K6" s="88">
        <v>2433650</v>
      </c>
      <c r="L6" s="7">
        <v>547524</v>
      </c>
      <c r="M6" s="7">
        <f>E6-L6</f>
        <v>3342976</v>
      </c>
      <c r="O6" s="84"/>
      <c r="P6" s="1"/>
    </row>
    <row r="7" spans="3:16" x14ac:dyDescent="0.25">
      <c r="C7" s="1" t="s">
        <v>825</v>
      </c>
      <c r="D7" s="7">
        <v>3092200</v>
      </c>
      <c r="E7" s="7">
        <v>6848000</v>
      </c>
      <c r="F7" s="7">
        <v>7750000</v>
      </c>
      <c r="G7" s="7">
        <v>7000000</v>
      </c>
      <c r="H7" s="85">
        <v>404889</v>
      </c>
      <c r="I7" s="7">
        <v>97260</v>
      </c>
      <c r="K7" s="7">
        <v>14439809</v>
      </c>
      <c r="L7" s="7">
        <v>532975</v>
      </c>
      <c r="M7" s="7">
        <f>E7-L7</f>
        <v>6315025</v>
      </c>
      <c r="O7" s="84"/>
      <c r="P7" s="7"/>
    </row>
    <row r="8" spans="3:16" x14ac:dyDescent="0.25">
      <c r="C8" s="1" t="s">
        <v>361</v>
      </c>
      <c r="D8" s="7">
        <v>868000</v>
      </c>
      <c r="E8" s="7">
        <v>8735100</v>
      </c>
      <c r="F8" s="7">
        <v>1471709</v>
      </c>
      <c r="G8" s="7">
        <v>1195719</v>
      </c>
      <c r="H8" s="85">
        <v>262101</v>
      </c>
      <c r="I8" s="7">
        <v>7759</v>
      </c>
      <c r="K8" s="88">
        <v>1261671</v>
      </c>
      <c r="L8" s="7">
        <v>1564279</v>
      </c>
      <c r="M8" s="7">
        <f>E8-L8</f>
        <v>7170821</v>
      </c>
      <c r="O8" s="84"/>
      <c r="P8" s="7"/>
    </row>
    <row r="9" spans="3:16" x14ac:dyDescent="0.25">
      <c r="C9" s="11" t="s">
        <v>661</v>
      </c>
      <c r="D9" s="87">
        <f>SUM(D6+D7+D8)</f>
        <v>5057100</v>
      </c>
      <c r="E9" s="87">
        <f>SUM(E6+E7+E8)</f>
        <v>19473600</v>
      </c>
      <c r="F9" s="87">
        <f>SUM(F6+F7+F8)</f>
        <v>10800463</v>
      </c>
      <c r="G9" s="87">
        <f>SUM(G6+G7+G8)</f>
        <v>9931713</v>
      </c>
      <c r="H9" s="87">
        <f>SUM(H6:H8)</f>
        <v>907838</v>
      </c>
      <c r="I9" s="87">
        <f>SUM(I6:I8)</f>
        <v>133913</v>
      </c>
      <c r="K9" s="87">
        <f>SUM(K6+K7+K8)</f>
        <v>18135130</v>
      </c>
      <c r="L9" s="87">
        <f>SUM(L6+L7+L8)</f>
        <v>2644778</v>
      </c>
      <c r="M9" s="87">
        <f>SUM(M6+M7+M8)</f>
        <v>16828822</v>
      </c>
      <c r="O9" s="84"/>
      <c r="P9" s="7"/>
    </row>
    <row r="10" spans="3:16" x14ac:dyDescent="0.25">
      <c r="C10" s="1" t="s">
        <v>366</v>
      </c>
      <c r="D10" s="7">
        <v>1239700</v>
      </c>
      <c r="E10" s="7">
        <v>2012600</v>
      </c>
      <c r="F10" s="7">
        <v>407845</v>
      </c>
      <c r="G10" s="7">
        <v>187005</v>
      </c>
      <c r="H10" s="86">
        <v>163558</v>
      </c>
      <c r="I10" s="85">
        <v>9283</v>
      </c>
      <c r="K10" s="49">
        <v>652149</v>
      </c>
      <c r="L10" s="7">
        <v>697617</v>
      </c>
      <c r="M10" s="7">
        <f>E10-L10</f>
        <v>1314983</v>
      </c>
      <c r="O10" s="84"/>
      <c r="P10" s="7"/>
    </row>
    <row r="11" spans="3:16" x14ac:dyDescent="0.25">
      <c r="O11" s="84"/>
      <c r="P11" s="7"/>
    </row>
    <row r="12" spans="3:16" x14ac:dyDescent="0.25">
      <c r="O12" s="84"/>
    </row>
    <row r="13" spans="3:16" x14ac:dyDescent="0.25">
      <c r="O13" s="84"/>
    </row>
    <row r="14" spans="3:16" x14ac:dyDescent="0.25">
      <c r="O14" s="84"/>
    </row>
    <row r="15" spans="3:16" x14ac:dyDescent="0.25">
      <c r="O15" s="84"/>
    </row>
    <row r="16" spans="3:16" x14ac:dyDescent="0.25">
      <c r="E16" s="84"/>
      <c r="F16" s="84"/>
      <c r="G16" s="84"/>
      <c r="K16" s="84"/>
      <c r="L16" s="84"/>
      <c r="O16" s="84"/>
    </row>
    <row r="17" spans="5:15" x14ac:dyDescent="0.25">
      <c r="E17" s="84"/>
      <c r="F17" s="84"/>
      <c r="G17" s="84"/>
      <c r="K17" s="84"/>
      <c r="L17" s="84"/>
      <c r="O17" s="84"/>
    </row>
    <row r="18" spans="5:15" x14ac:dyDescent="0.25">
      <c r="E18" s="84"/>
      <c r="F18" s="84"/>
      <c r="G18" s="84"/>
      <c r="K18" s="84"/>
      <c r="L18" s="84"/>
      <c r="O18" s="84"/>
    </row>
    <row r="19" spans="5:15" x14ac:dyDescent="0.25">
      <c r="E19" s="84"/>
      <c r="F19" s="84"/>
      <c r="G19" s="84"/>
      <c r="K19" s="84"/>
      <c r="L19" s="84"/>
      <c r="O19" s="84"/>
    </row>
    <row r="20" spans="5:15" x14ac:dyDescent="0.25">
      <c r="E20" s="84"/>
      <c r="F20" s="84"/>
      <c r="G20" s="84"/>
      <c r="K20" s="84"/>
      <c r="L20" s="84"/>
      <c r="O20" s="84"/>
    </row>
    <row r="21" spans="5:15" x14ac:dyDescent="0.25">
      <c r="E21" s="84"/>
      <c r="F21" s="84"/>
      <c r="G21" s="84"/>
      <c r="K21" s="84"/>
      <c r="L21" s="84"/>
      <c r="O21" s="84"/>
    </row>
    <row r="22" spans="5:15" x14ac:dyDescent="0.25">
      <c r="E22" s="84"/>
      <c r="F22" s="84"/>
      <c r="G22" s="84"/>
      <c r="K22" s="84"/>
      <c r="L22" s="84"/>
      <c r="O22" s="84"/>
    </row>
    <row r="23" spans="5:15" x14ac:dyDescent="0.25">
      <c r="E23" s="84"/>
      <c r="F23" s="84"/>
      <c r="G23" s="84"/>
      <c r="K23" s="84"/>
      <c r="L23" s="84"/>
      <c r="O23" s="84"/>
    </row>
    <row r="24" spans="5:15" x14ac:dyDescent="0.25">
      <c r="E24" s="84"/>
      <c r="F24" s="84"/>
      <c r="G24" s="84"/>
      <c r="K24" s="84"/>
      <c r="L24" s="84"/>
      <c r="O24" s="84"/>
    </row>
    <row r="25" spans="5:15" x14ac:dyDescent="0.25">
      <c r="E25" s="84"/>
      <c r="F25" s="84"/>
      <c r="G25" s="84"/>
      <c r="K25" s="84"/>
      <c r="L25" s="84"/>
      <c r="O25" s="84"/>
    </row>
    <row r="26" spans="5:15" x14ac:dyDescent="0.25">
      <c r="E26" s="84"/>
      <c r="F26" s="84"/>
      <c r="G26" s="84"/>
      <c r="K26" s="84"/>
      <c r="L26" s="84"/>
      <c r="O26" s="84"/>
    </row>
    <row r="27" spans="5:15" x14ac:dyDescent="0.25">
      <c r="E27" s="84"/>
      <c r="F27" s="84"/>
      <c r="G27" s="84"/>
      <c r="K27" s="84"/>
      <c r="L27" s="84"/>
      <c r="O27" s="84"/>
    </row>
    <row r="28" spans="5:15" x14ac:dyDescent="0.25">
      <c r="E28" s="84"/>
      <c r="F28" s="84"/>
      <c r="G28" s="84"/>
      <c r="K28" s="84"/>
      <c r="L28" s="84"/>
      <c r="O28" s="84"/>
    </row>
    <row r="29" spans="5:15" x14ac:dyDescent="0.25">
      <c r="E29" s="84"/>
      <c r="F29" s="84"/>
      <c r="G29" s="84"/>
      <c r="K29" s="84"/>
      <c r="L29" s="84"/>
      <c r="O29" s="84"/>
    </row>
    <row r="30" spans="5:15" x14ac:dyDescent="0.25">
      <c r="E30" s="84"/>
      <c r="F30" s="84"/>
      <c r="G30" s="84"/>
      <c r="K30" s="84"/>
      <c r="L30" s="84"/>
      <c r="O30" s="84"/>
    </row>
    <row r="31" spans="5:15" x14ac:dyDescent="0.25">
      <c r="E31" s="84"/>
      <c r="F31" s="84"/>
      <c r="G31" s="84"/>
      <c r="K31" s="84"/>
      <c r="L31" s="84"/>
      <c r="O31" s="84"/>
    </row>
    <row r="32" spans="5:15" x14ac:dyDescent="0.25">
      <c r="E32" s="84"/>
      <c r="F32" s="84"/>
      <c r="G32" s="84"/>
      <c r="K32" s="84"/>
      <c r="L32" s="84"/>
      <c r="O32" s="84"/>
    </row>
    <row r="33" spans="5:15" x14ac:dyDescent="0.25">
      <c r="E33" s="84"/>
      <c r="F33" s="84"/>
      <c r="G33" s="84"/>
      <c r="K33" s="84"/>
      <c r="L33" s="84"/>
      <c r="O33" s="84"/>
    </row>
    <row r="34" spans="5:15" x14ac:dyDescent="0.25">
      <c r="E34" s="84"/>
      <c r="F34" s="84"/>
      <c r="G34" s="84"/>
      <c r="K34" s="84"/>
      <c r="L34" s="84"/>
      <c r="O34" s="84"/>
    </row>
    <row r="35" spans="5:15" x14ac:dyDescent="0.25">
      <c r="E35" s="84"/>
      <c r="F35" s="84"/>
      <c r="G35" s="84"/>
      <c r="K35" s="84"/>
      <c r="L35" s="84"/>
      <c r="O35" s="84"/>
    </row>
    <row r="36" spans="5:15" x14ac:dyDescent="0.25">
      <c r="E36" s="84"/>
      <c r="F36" s="84"/>
      <c r="G36" s="84"/>
      <c r="K36" s="84"/>
      <c r="L36" s="84"/>
      <c r="O36" s="84"/>
    </row>
    <row r="37" spans="5:15" x14ac:dyDescent="0.25">
      <c r="E37" s="84"/>
      <c r="F37" s="84"/>
      <c r="G37" s="84"/>
      <c r="K37" s="84"/>
      <c r="L37" s="84"/>
      <c r="O37" s="84"/>
    </row>
    <row r="38" spans="5:15" x14ac:dyDescent="0.25">
      <c r="E38" s="84"/>
      <c r="F38" s="84"/>
      <c r="G38" s="84"/>
      <c r="K38" s="84"/>
      <c r="L38" s="84"/>
      <c r="O38" s="84"/>
    </row>
    <row r="39" spans="5:15" x14ac:dyDescent="0.25">
      <c r="E39" s="84"/>
      <c r="F39" s="84"/>
      <c r="G39" s="84"/>
      <c r="K39" s="84"/>
      <c r="L39" s="84"/>
      <c r="O39" s="84"/>
    </row>
    <row r="40" spans="5:15" x14ac:dyDescent="0.25">
      <c r="E40" s="84"/>
      <c r="F40" s="84"/>
      <c r="G40" s="84"/>
      <c r="K40" s="84"/>
      <c r="L40" s="84"/>
      <c r="O40" s="84"/>
    </row>
    <row r="41" spans="5:15" x14ac:dyDescent="0.25">
      <c r="E41" s="84"/>
      <c r="F41" s="84"/>
      <c r="G41" s="84"/>
      <c r="K41" s="84"/>
      <c r="L41" s="84"/>
      <c r="O41" s="84"/>
    </row>
    <row r="42" spans="5:15" x14ac:dyDescent="0.25">
      <c r="E42" s="84"/>
      <c r="F42" s="84"/>
      <c r="G42" s="84"/>
      <c r="K42" s="84"/>
      <c r="L42" s="84"/>
      <c r="O42" s="84"/>
    </row>
    <row r="43" spans="5:15" x14ac:dyDescent="0.25">
      <c r="E43" s="84"/>
      <c r="F43" s="84"/>
      <c r="G43" s="84"/>
      <c r="K43" s="84"/>
      <c r="L43" s="84"/>
      <c r="O43" s="84"/>
    </row>
    <row r="44" spans="5:15" x14ac:dyDescent="0.25">
      <c r="E44" s="84"/>
      <c r="F44" s="84"/>
      <c r="G44" s="84"/>
      <c r="K44" s="84"/>
      <c r="L44" s="84"/>
      <c r="O44" s="84"/>
    </row>
    <row r="45" spans="5:15" x14ac:dyDescent="0.25">
      <c r="E45" s="84"/>
      <c r="F45" s="84"/>
      <c r="G45" s="84"/>
      <c r="K45" s="84"/>
      <c r="L45" s="84"/>
      <c r="O45" s="16"/>
    </row>
    <row r="46" spans="5:15" x14ac:dyDescent="0.25">
      <c r="E46" s="84"/>
      <c r="F46" s="84"/>
      <c r="G46" s="84"/>
      <c r="K46" s="84"/>
      <c r="L46" s="84"/>
    </row>
    <row r="47" spans="5:15" x14ac:dyDescent="0.25">
      <c r="E47" s="84"/>
      <c r="F47" s="84"/>
      <c r="G47" s="84"/>
      <c r="K47" s="84"/>
      <c r="L47" s="84"/>
    </row>
    <row r="48" spans="5:15" x14ac:dyDescent="0.25">
      <c r="E48" s="84"/>
      <c r="F48" s="84"/>
      <c r="G48" s="84"/>
      <c r="K48" s="84"/>
      <c r="L48" s="84"/>
    </row>
    <row r="49" spans="5:12" x14ac:dyDescent="0.25">
      <c r="E49" s="84"/>
      <c r="F49" s="84"/>
      <c r="G49" s="84"/>
      <c r="K49" s="84"/>
      <c r="L49" s="84"/>
    </row>
    <row r="50" spans="5:12" x14ac:dyDescent="0.25">
      <c r="E50" s="84"/>
      <c r="F50" s="84"/>
      <c r="G50" s="84"/>
      <c r="K50" s="84"/>
      <c r="L50" s="84"/>
    </row>
    <row r="51" spans="5:12" x14ac:dyDescent="0.25">
      <c r="E51" s="84"/>
      <c r="F51" s="84"/>
      <c r="G51" s="84"/>
      <c r="K51" s="84"/>
      <c r="L51" s="84"/>
    </row>
    <row r="52" spans="5:12" x14ac:dyDescent="0.25">
      <c r="E52" s="84"/>
      <c r="F52" s="84"/>
      <c r="G52" s="84"/>
      <c r="K52" s="84"/>
      <c r="L52" s="84"/>
    </row>
    <row r="53" spans="5:12" x14ac:dyDescent="0.25">
      <c r="E53" s="84"/>
      <c r="F53" s="84"/>
      <c r="G53" s="84"/>
      <c r="K53" s="84"/>
      <c r="L53" s="84"/>
    </row>
    <row r="54" spans="5:12" x14ac:dyDescent="0.25">
      <c r="E54" s="84"/>
      <c r="F54" s="84"/>
      <c r="G54" s="84"/>
      <c r="K54" s="84"/>
      <c r="L54" s="84"/>
    </row>
    <row r="55" spans="5:12" x14ac:dyDescent="0.25">
      <c r="E55" s="84"/>
      <c r="F55" s="84"/>
      <c r="G55" s="84"/>
      <c r="K55" s="84"/>
      <c r="L55" s="84"/>
    </row>
    <row r="56" spans="5:12" x14ac:dyDescent="0.25">
      <c r="E56" s="84"/>
      <c r="F56" s="84"/>
      <c r="G56" s="84"/>
      <c r="K56" s="84"/>
      <c r="L56" s="84"/>
    </row>
    <row r="57" spans="5:12" x14ac:dyDescent="0.25">
      <c r="E57" s="84"/>
      <c r="F57" s="84"/>
      <c r="G57" s="84"/>
      <c r="K57" s="84"/>
      <c r="L57" s="84"/>
    </row>
    <row r="58" spans="5:12" x14ac:dyDescent="0.25">
      <c r="E58" s="84"/>
      <c r="F58" s="84"/>
      <c r="G58" s="84"/>
      <c r="K58" s="84"/>
      <c r="L58" s="84"/>
    </row>
    <row r="59" spans="5:12" x14ac:dyDescent="0.25">
      <c r="E59" s="84"/>
      <c r="F59" s="84"/>
      <c r="G59" s="84"/>
      <c r="K59" s="84"/>
      <c r="L59" s="84"/>
    </row>
    <row r="60" spans="5:12" x14ac:dyDescent="0.25">
      <c r="E60" s="84"/>
      <c r="F60" s="84"/>
      <c r="G60" s="84"/>
      <c r="K60" s="84"/>
      <c r="L60" s="84"/>
    </row>
    <row r="61" spans="5:12" x14ac:dyDescent="0.25">
      <c r="E61" s="84"/>
      <c r="F61" s="84"/>
      <c r="G61" s="84"/>
      <c r="K61" s="84"/>
      <c r="L61" s="84"/>
    </row>
    <row r="62" spans="5:12" x14ac:dyDescent="0.25">
      <c r="E62" s="84"/>
      <c r="F62" s="84"/>
      <c r="G62" s="84"/>
      <c r="K62" s="84"/>
      <c r="L62" s="84"/>
    </row>
    <row r="63" spans="5:12" x14ac:dyDescent="0.25">
      <c r="E63" s="84"/>
      <c r="F63" s="84"/>
      <c r="G63" s="84"/>
      <c r="K63" s="84"/>
      <c r="L63" s="84"/>
    </row>
    <row r="64" spans="5:12" x14ac:dyDescent="0.25">
      <c r="E64" s="84"/>
      <c r="F64" s="84"/>
      <c r="G64" s="84"/>
      <c r="K64" s="84"/>
      <c r="L64" s="84"/>
    </row>
    <row r="65" spans="5:12" x14ac:dyDescent="0.25">
      <c r="E65" s="84"/>
      <c r="F65" s="84"/>
      <c r="G65" s="84"/>
      <c r="K65" s="84"/>
      <c r="L65" s="84"/>
    </row>
    <row r="66" spans="5:12" x14ac:dyDescent="0.25">
      <c r="E66" s="84"/>
      <c r="F66" s="84"/>
      <c r="G66" s="84"/>
      <c r="K66" s="84"/>
      <c r="L66" s="84"/>
    </row>
    <row r="67" spans="5:12" x14ac:dyDescent="0.25">
      <c r="E67" s="16"/>
      <c r="F67" s="16"/>
      <c r="G67" s="16"/>
      <c r="K67" s="16"/>
      <c r="L67" s="1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95"/>
  <sheetViews>
    <sheetView workbookViewId="0">
      <selection activeCell="B59" sqref="B59"/>
    </sheetView>
  </sheetViews>
  <sheetFormatPr defaultRowHeight="15" x14ac:dyDescent="0.25"/>
  <cols>
    <col min="1" max="1" width="35" bestFit="1" customWidth="1"/>
    <col min="2" max="2" width="20.42578125" bestFit="1" customWidth="1"/>
    <col min="3" max="3" width="16.5703125" bestFit="1" customWidth="1"/>
    <col min="6" max="6" width="20.42578125" bestFit="1" customWidth="1"/>
    <col min="8" max="8" width="25.28515625" style="67" bestFit="1" customWidth="1"/>
    <col min="9" max="9" width="8.85546875" style="67" bestFit="1" customWidth="1"/>
  </cols>
  <sheetData>
    <row r="1" spans="1:9" x14ac:dyDescent="0.25">
      <c r="A1" s="65" t="s">
        <v>66</v>
      </c>
      <c r="B1" s="65" t="s">
        <v>654</v>
      </c>
      <c r="C1" t="s">
        <v>660</v>
      </c>
      <c r="H1" s="82"/>
      <c r="I1" s="72"/>
    </row>
    <row r="2" spans="1:9" x14ac:dyDescent="0.25">
      <c r="A2" s="32" t="s">
        <v>106</v>
      </c>
      <c r="B2" s="21" t="s">
        <v>353</v>
      </c>
      <c r="C2">
        <v>0</v>
      </c>
      <c r="H2" s="81"/>
      <c r="I2" s="80"/>
    </row>
    <row r="3" spans="1:9" x14ac:dyDescent="0.25">
      <c r="A3" s="32" t="s">
        <v>232</v>
      </c>
      <c r="B3" s="21" t="s">
        <v>361</v>
      </c>
      <c r="C3" s="73">
        <v>110</v>
      </c>
      <c r="F3" t="s">
        <v>659</v>
      </c>
      <c r="H3" s="70"/>
    </row>
    <row r="4" spans="1:9" x14ac:dyDescent="0.25">
      <c r="A4" s="32" t="s">
        <v>231</v>
      </c>
      <c r="B4" s="21" t="s">
        <v>361</v>
      </c>
      <c r="C4" s="72">
        <v>1111</v>
      </c>
      <c r="F4" t="s">
        <v>353</v>
      </c>
      <c r="G4">
        <v>1618321</v>
      </c>
      <c r="H4" s="70"/>
    </row>
    <row r="5" spans="1:9" x14ac:dyDescent="0.25">
      <c r="A5" s="32" t="s">
        <v>62</v>
      </c>
      <c r="B5" s="21" t="s">
        <v>356</v>
      </c>
      <c r="C5" s="73">
        <v>14139</v>
      </c>
      <c r="F5" t="s">
        <v>356</v>
      </c>
      <c r="G5">
        <v>489691</v>
      </c>
      <c r="H5" s="70"/>
      <c r="I5" s="72"/>
    </row>
    <row r="6" spans="1:9" x14ac:dyDescent="0.25">
      <c r="A6" s="32" t="s">
        <v>228</v>
      </c>
      <c r="B6" s="21" t="s">
        <v>361</v>
      </c>
      <c r="C6" s="72">
        <v>40240</v>
      </c>
      <c r="F6" t="s">
        <v>361</v>
      </c>
      <c r="G6">
        <v>1378570</v>
      </c>
      <c r="H6" s="70"/>
    </row>
    <row r="7" spans="1:9" x14ac:dyDescent="0.25">
      <c r="A7" s="32" t="s">
        <v>61</v>
      </c>
      <c r="B7" s="21" t="s">
        <v>356</v>
      </c>
      <c r="C7" s="73">
        <v>100</v>
      </c>
      <c r="F7" t="s">
        <v>652</v>
      </c>
      <c r="G7">
        <v>557620</v>
      </c>
      <c r="H7" s="70"/>
      <c r="I7" s="72"/>
    </row>
    <row r="8" spans="1:9" x14ac:dyDescent="0.25">
      <c r="A8" s="32" t="s">
        <v>227</v>
      </c>
      <c r="B8" s="21" t="s">
        <v>366</v>
      </c>
      <c r="C8" s="72">
        <v>9933</v>
      </c>
      <c r="F8" t="s">
        <v>366</v>
      </c>
      <c r="G8">
        <v>697951</v>
      </c>
      <c r="H8" s="70"/>
      <c r="I8" s="72"/>
    </row>
    <row r="9" spans="1:9" x14ac:dyDescent="0.25">
      <c r="A9" s="32" t="s">
        <v>226</v>
      </c>
      <c r="B9" s="21" t="s">
        <v>366</v>
      </c>
      <c r="C9" s="73">
        <v>2250</v>
      </c>
      <c r="H9" s="70"/>
    </row>
    <row r="10" spans="1:9" x14ac:dyDescent="0.25">
      <c r="A10" s="32" t="s">
        <v>224</v>
      </c>
      <c r="B10" s="21" t="s">
        <v>361</v>
      </c>
      <c r="C10" s="72">
        <v>159</v>
      </c>
      <c r="H10" s="70"/>
    </row>
    <row r="11" spans="1:9" x14ac:dyDescent="0.25">
      <c r="A11" s="32" t="s">
        <v>223</v>
      </c>
      <c r="B11" s="21" t="s">
        <v>366</v>
      </c>
      <c r="C11" s="72">
        <v>1244</v>
      </c>
      <c r="H11" s="70"/>
    </row>
    <row r="12" spans="1:9" x14ac:dyDescent="0.25">
      <c r="A12" s="32" t="s">
        <v>222</v>
      </c>
      <c r="B12" s="21" t="s">
        <v>366</v>
      </c>
      <c r="C12" s="75"/>
      <c r="H12" s="70"/>
    </row>
    <row r="13" spans="1:9" x14ac:dyDescent="0.25">
      <c r="A13" s="32" t="s">
        <v>105</v>
      </c>
      <c r="B13" s="21" t="s">
        <v>353</v>
      </c>
      <c r="C13" s="73">
        <v>283</v>
      </c>
      <c r="H13" s="70"/>
    </row>
    <row r="14" spans="1:9" x14ac:dyDescent="0.25">
      <c r="A14" s="32" t="s">
        <v>221</v>
      </c>
      <c r="B14" s="21" t="s">
        <v>366</v>
      </c>
      <c r="C14" s="72">
        <v>719</v>
      </c>
      <c r="H14" s="70"/>
    </row>
    <row r="15" spans="1:9" x14ac:dyDescent="0.25">
      <c r="A15" s="32" t="s">
        <v>220</v>
      </c>
      <c r="B15" s="21" t="s">
        <v>361</v>
      </c>
      <c r="C15" s="72">
        <v>1249</v>
      </c>
      <c r="H15" s="70"/>
    </row>
    <row r="16" spans="1:9" x14ac:dyDescent="0.25">
      <c r="A16" s="32" t="s">
        <v>219</v>
      </c>
      <c r="B16" s="21" t="s">
        <v>366</v>
      </c>
      <c r="C16" s="73">
        <v>6928</v>
      </c>
      <c r="H16" s="70"/>
    </row>
    <row r="17" spans="1:8" x14ac:dyDescent="0.25">
      <c r="A17" s="32" t="s">
        <v>218</v>
      </c>
      <c r="B17" s="21" t="s">
        <v>356</v>
      </c>
      <c r="C17" s="73">
        <v>630</v>
      </c>
      <c r="H17" s="70"/>
    </row>
    <row r="18" spans="1:8" x14ac:dyDescent="0.25">
      <c r="A18" s="32" t="s">
        <v>104</v>
      </c>
      <c r="B18" s="21" t="s">
        <v>353</v>
      </c>
      <c r="C18" s="72">
        <v>12078</v>
      </c>
      <c r="H18" s="70"/>
    </row>
    <row r="19" spans="1:8" x14ac:dyDescent="0.25">
      <c r="A19" s="32" t="s">
        <v>59</v>
      </c>
      <c r="B19" s="21" t="s">
        <v>356</v>
      </c>
      <c r="C19" s="73">
        <v>30</v>
      </c>
      <c r="H19" s="70"/>
    </row>
    <row r="20" spans="1:8" x14ac:dyDescent="0.25">
      <c r="A20" s="32" t="s">
        <v>58</v>
      </c>
      <c r="B20" s="21" t="s">
        <v>356</v>
      </c>
      <c r="C20" s="72">
        <v>758</v>
      </c>
      <c r="H20" s="70"/>
    </row>
    <row r="21" spans="1:8" x14ac:dyDescent="0.25">
      <c r="A21" s="32" t="s">
        <v>216</v>
      </c>
      <c r="B21" s="21" t="s">
        <v>361</v>
      </c>
      <c r="C21" s="73">
        <v>33</v>
      </c>
      <c r="H21" s="70"/>
    </row>
    <row r="22" spans="1:8" x14ac:dyDescent="0.25">
      <c r="A22" s="32" t="s">
        <v>215</v>
      </c>
      <c r="B22" s="21" t="s">
        <v>361</v>
      </c>
      <c r="C22" s="72">
        <v>117045</v>
      </c>
      <c r="H22" s="70"/>
    </row>
    <row r="23" spans="1:8" x14ac:dyDescent="0.25">
      <c r="A23" s="32" t="s">
        <v>213</v>
      </c>
      <c r="B23" s="21" t="s">
        <v>361</v>
      </c>
      <c r="C23" s="73">
        <v>194984</v>
      </c>
      <c r="H23" s="70"/>
    </row>
    <row r="24" spans="1:8" x14ac:dyDescent="0.25">
      <c r="A24" s="32" t="s">
        <v>212</v>
      </c>
      <c r="B24" s="21" t="s">
        <v>366</v>
      </c>
      <c r="C24" s="72">
        <v>10</v>
      </c>
      <c r="H24" s="70"/>
    </row>
    <row r="25" spans="1:8" x14ac:dyDescent="0.25">
      <c r="A25" s="32" t="s">
        <v>211</v>
      </c>
      <c r="B25" s="21" t="s">
        <v>361</v>
      </c>
      <c r="C25" s="72">
        <v>251</v>
      </c>
      <c r="H25" s="70"/>
    </row>
    <row r="26" spans="1:8" x14ac:dyDescent="0.25">
      <c r="A26" s="32" t="s">
        <v>103</v>
      </c>
      <c r="B26" s="21" t="s">
        <v>353</v>
      </c>
      <c r="C26" s="73">
        <v>21103</v>
      </c>
      <c r="H26" s="70"/>
    </row>
    <row r="27" spans="1:8" x14ac:dyDescent="0.25">
      <c r="A27" s="32" t="s">
        <v>102</v>
      </c>
      <c r="B27" s="21" t="s">
        <v>353</v>
      </c>
      <c r="C27" s="72">
        <v>14343</v>
      </c>
      <c r="H27" s="70"/>
    </row>
    <row r="28" spans="1:8" x14ac:dyDescent="0.25">
      <c r="A28" s="32" t="s">
        <v>101</v>
      </c>
      <c r="B28" s="21" t="s">
        <v>353</v>
      </c>
      <c r="C28" s="73">
        <v>31999</v>
      </c>
      <c r="H28" s="70"/>
    </row>
    <row r="29" spans="1:8" x14ac:dyDescent="0.25">
      <c r="A29" s="32" t="s">
        <v>57</v>
      </c>
      <c r="B29" s="21" t="s">
        <v>356</v>
      </c>
      <c r="C29" s="72">
        <v>59960</v>
      </c>
      <c r="H29" s="70"/>
    </row>
    <row r="30" spans="1:8" x14ac:dyDescent="0.25">
      <c r="A30" s="32" t="s">
        <v>210</v>
      </c>
      <c r="B30" s="21" t="s">
        <v>366</v>
      </c>
      <c r="C30" s="73">
        <v>27000</v>
      </c>
      <c r="H30" s="70"/>
    </row>
    <row r="31" spans="1:8" x14ac:dyDescent="0.25">
      <c r="A31" s="32" t="s">
        <v>56</v>
      </c>
      <c r="B31" s="21" t="s">
        <v>356</v>
      </c>
      <c r="C31" s="73">
        <v>360</v>
      </c>
      <c r="H31" s="70"/>
    </row>
    <row r="32" spans="1:8" x14ac:dyDescent="0.25">
      <c r="A32" s="32" t="s">
        <v>100</v>
      </c>
      <c r="B32" s="21" t="s">
        <v>353</v>
      </c>
      <c r="C32" s="72">
        <v>10551</v>
      </c>
      <c r="H32" s="70"/>
    </row>
    <row r="33" spans="1:9" x14ac:dyDescent="0.25">
      <c r="A33" s="32" t="s">
        <v>99</v>
      </c>
      <c r="B33" s="21" t="s">
        <v>353</v>
      </c>
      <c r="C33" s="73">
        <v>17900</v>
      </c>
      <c r="H33" s="70"/>
    </row>
    <row r="34" spans="1:9" x14ac:dyDescent="0.25">
      <c r="A34" s="32" t="s">
        <v>209</v>
      </c>
      <c r="B34" s="21" t="s">
        <v>361</v>
      </c>
      <c r="C34" s="72">
        <v>10904</v>
      </c>
      <c r="H34" s="70"/>
    </row>
    <row r="35" spans="1:9" x14ac:dyDescent="0.25">
      <c r="A35" s="32" t="s">
        <v>55</v>
      </c>
      <c r="B35" s="21" t="s">
        <v>823</v>
      </c>
      <c r="C35" s="73">
        <v>48254</v>
      </c>
      <c r="H35" s="70"/>
    </row>
    <row r="36" spans="1:9" x14ac:dyDescent="0.25">
      <c r="A36" s="32" t="s">
        <v>533</v>
      </c>
      <c r="B36" s="21" t="s">
        <v>366</v>
      </c>
      <c r="C36" s="72">
        <v>0</v>
      </c>
      <c r="H36" s="70"/>
    </row>
    <row r="37" spans="1:9" x14ac:dyDescent="0.25">
      <c r="A37" s="32" t="s">
        <v>531</v>
      </c>
      <c r="B37" s="21" t="s">
        <v>366</v>
      </c>
      <c r="C37" s="73">
        <v>0</v>
      </c>
      <c r="H37" s="70"/>
    </row>
    <row r="38" spans="1:9" x14ac:dyDescent="0.25">
      <c r="A38" s="32" t="s">
        <v>208</v>
      </c>
      <c r="B38" s="21" t="s">
        <v>361</v>
      </c>
      <c r="C38" s="72">
        <v>17551</v>
      </c>
      <c r="H38" s="70"/>
    </row>
    <row r="39" spans="1:9" x14ac:dyDescent="0.25">
      <c r="A39" s="32" t="s">
        <v>98</v>
      </c>
      <c r="B39" s="21" t="s">
        <v>353</v>
      </c>
      <c r="C39" s="73">
        <v>8</v>
      </c>
      <c r="H39" s="70"/>
    </row>
    <row r="40" spans="1:9" x14ac:dyDescent="0.25">
      <c r="A40" s="32" t="s">
        <v>207</v>
      </c>
      <c r="B40" s="21" t="s">
        <v>356</v>
      </c>
      <c r="C40" s="72">
        <v>9400</v>
      </c>
      <c r="H40" s="70"/>
    </row>
    <row r="41" spans="1:9" x14ac:dyDescent="0.25">
      <c r="A41" s="32" t="s">
        <v>205</v>
      </c>
      <c r="B41" s="21" t="s">
        <v>361</v>
      </c>
      <c r="C41" s="72">
        <v>2886</v>
      </c>
      <c r="H41" s="70"/>
      <c r="I41" s="72"/>
    </row>
    <row r="42" spans="1:9" x14ac:dyDescent="0.25">
      <c r="A42" s="32" t="s">
        <v>53</v>
      </c>
      <c r="B42" s="21" t="s">
        <v>356</v>
      </c>
      <c r="C42" s="73">
        <v>51820</v>
      </c>
      <c r="H42" s="70"/>
    </row>
    <row r="43" spans="1:9" x14ac:dyDescent="0.25">
      <c r="A43" s="32" t="s">
        <v>203</v>
      </c>
      <c r="B43" s="21" t="s">
        <v>366</v>
      </c>
      <c r="C43" s="72">
        <v>398</v>
      </c>
      <c r="H43" s="70"/>
    </row>
    <row r="44" spans="1:9" x14ac:dyDescent="0.25">
      <c r="A44" s="32" t="s">
        <v>202</v>
      </c>
      <c r="B44" s="21" t="s">
        <v>361</v>
      </c>
      <c r="C44" s="73">
        <v>3999</v>
      </c>
      <c r="H44" s="70"/>
    </row>
    <row r="45" spans="1:9" x14ac:dyDescent="0.25">
      <c r="A45" s="32" t="s">
        <v>201</v>
      </c>
      <c r="B45" s="21" t="s">
        <v>366</v>
      </c>
      <c r="C45" s="72">
        <v>151</v>
      </c>
      <c r="H45" s="70"/>
    </row>
    <row r="46" spans="1:9" x14ac:dyDescent="0.25">
      <c r="A46" s="32" t="s">
        <v>200</v>
      </c>
      <c r="B46" s="21" t="s">
        <v>366</v>
      </c>
      <c r="C46" s="73">
        <v>570</v>
      </c>
      <c r="H46" s="70"/>
    </row>
    <row r="47" spans="1:9" x14ac:dyDescent="0.25">
      <c r="A47" s="32" t="s">
        <v>520</v>
      </c>
      <c r="B47" s="21" t="s">
        <v>353</v>
      </c>
      <c r="C47" s="72">
        <v>0</v>
      </c>
      <c r="H47" s="70"/>
    </row>
    <row r="48" spans="1:9" x14ac:dyDescent="0.25">
      <c r="A48" s="32" t="s">
        <v>198</v>
      </c>
      <c r="B48" s="21" t="s">
        <v>353</v>
      </c>
      <c r="C48" s="73">
        <v>24645</v>
      </c>
      <c r="H48" s="70"/>
      <c r="I48" s="72"/>
    </row>
    <row r="49" spans="1:9" x14ac:dyDescent="0.25">
      <c r="A49" s="32" t="s">
        <v>197</v>
      </c>
      <c r="B49" s="21" t="s">
        <v>366</v>
      </c>
      <c r="C49" s="72">
        <v>3000</v>
      </c>
      <c r="H49" s="70"/>
    </row>
    <row r="50" spans="1:9" x14ac:dyDescent="0.25">
      <c r="A50" s="32" t="s">
        <v>52</v>
      </c>
      <c r="B50" s="21" t="s">
        <v>356</v>
      </c>
      <c r="C50" s="72">
        <v>816</v>
      </c>
      <c r="H50" s="70"/>
    </row>
    <row r="51" spans="1:9" x14ac:dyDescent="0.25">
      <c r="A51" s="32" t="s">
        <v>195</v>
      </c>
      <c r="B51" s="21" t="s">
        <v>361</v>
      </c>
      <c r="C51" s="72">
        <v>11072</v>
      </c>
      <c r="H51" s="70"/>
    </row>
    <row r="52" spans="1:9" x14ac:dyDescent="0.25">
      <c r="A52" s="32" t="s">
        <v>51</v>
      </c>
      <c r="B52" s="21" t="s">
        <v>356</v>
      </c>
      <c r="C52" s="73">
        <v>3728</v>
      </c>
      <c r="H52" s="70"/>
      <c r="I52" s="72"/>
    </row>
    <row r="53" spans="1:9" x14ac:dyDescent="0.25">
      <c r="A53" s="32" t="s">
        <v>194</v>
      </c>
      <c r="B53" s="21" t="s">
        <v>356</v>
      </c>
      <c r="C53" s="72">
        <v>291</v>
      </c>
      <c r="H53" s="70"/>
    </row>
    <row r="54" spans="1:9" x14ac:dyDescent="0.25">
      <c r="A54" s="32" t="s">
        <v>49</v>
      </c>
      <c r="B54" s="21" t="s">
        <v>356</v>
      </c>
      <c r="C54" s="73">
        <v>7104</v>
      </c>
      <c r="H54" s="70"/>
    </row>
    <row r="55" spans="1:9" x14ac:dyDescent="0.25">
      <c r="A55" s="32" t="s">
        <v>193</v>
      </c>
      <c r="B55" s="21" t="s">
        <v>366</v>
      </c>
      <c r="C55" s="72">
        <v>839</v>
      </c>
      <c r="H55" s="70"/>
    </row>
    <row r="56" spans="1:9" x14ac:dyDescent="0.25">
      <c r="A56" s="32" t="s">
        <v>96</v>
      </c>
      <c r="B56" s="21" t="s">
        <v>353</v>
      </c>
      <c r="C56" s="73">
        <v>4299</v>
      </c>
      <c r="H56" s="70"/>
    </row>
    <row r="57" spans="1:9" x14ac:dyDescent="0.25">
      <c r="A57" s="32" t="s">
        <v>192</v>
      </c>
      <c r="B57" s="21" t="s">
        <v>366</v>
      </c>
      <c r="C57" s="73">
        <v>772</v>
      </c>
      <c r="H57" s="70"/>
    </row>
    <row r="58" spans="1:9" x14ac:dyDescent="0.25">
      <c r="A58" s="32" t="s">
        <v>95</v>
      </c>
      <c r="B58" s="21" t="s">
        <v>353</v>
      </c>
      <c r="C58" s="72">
        <v>132379</v>
      </c>
      <c r="H58" s="70"/>
    </row>
    <row r="59" spans="1:9" x14ac:dyDescent="0.25">
      <c r="A59" s="32" t="s">
        <v>191</v>
      </c>
      <c r="B59" s="21" t="s">
        <v>356</v>
      </c>
      <c r="C59" s="73">
        <v>39</v>
      </c>
      <c r="H59" s="70"/>
    </row>
    <row r="60" spans="1:9" x14ac:dyDescent="0.25">
      <c r="A60" s="32" t="s">
        <v>190</v>
      </c>
      <c r="B60" s="21" t="s">
        <v>366</v>
      </c>
      <c r="C60" s="72">
        <v>450</v>
      </c>
      <c r="H60" s="70"/>
    </row>
    <row r="61" spans="1:9" x14ac:dyDescent="0.25">
      <c r="A61" s="32" t="s">
        <v>189</v>
      </c>
      <c r="B61" s="21" t="s">
        <v>366</v>
      </c>
      <c r="C61" s="73">
        <v>79680</v>
      </c>
      <c r="H61" s="70"/>
    </row>
    <row r="62" spans="1:9" x14ac:dyDescent="0.25">
      <c r="A62" s="32" t="s">
        <v>188</v>
      </c>
      <c r="B62" s="21" t="s">
        <v>361</v>
      </c>
      <c r="C62" s="72">
        <v>7773</v>
      </c>
      <c r="H62" s="70"/>
    </row>
    <row r="63" spans="1:9" x14ac:dyDescent="0.25">
      <c r="A63" s="32" t="s">
        <v>187</v>
      </c>
      <c r="B63" s="21" t="s">
        <v>353</v>
      </c>
      <c r="C63" s="73">
        <v>770</v>
      </c>
      <c r="H63" s="70"/>
    </row>
    <row r="64" spans="1:9" x14ac:dyDescent="0.25">
      <c r="A64" s="32" t="s">
        <v>48</v>
      </c>
      <c r="B64" s="21" t="s">
        <v>356</v>
      </c>
      <c r="C64" s="72">
        <v>498</v>
      </c>
      <c r="H64" s="70"/>
    </row>
    <row r="65" spans="1:8" x14ac:dyDescent="0.25">
      <c r="A65" s="32" t="s">
        <v>186</v>
      </c>
      <c r="B65" s="21" t="s">
        <v>366</v>
      </c>
      <c r="C65" s="72">
        <v>36500</v>
      </c>
      <c r="H65" s="70"/>
    </row>
    <row r="66" spans="1:8" x14ac:dyDescent="0.25">
      <c r="A66" s="32" t="s">
        <v>93</v>
      </c>
      <c r="B66" s="21" t="s">
        <v>356</v>
      </c>
      <c r="C66" s="73">
        <v>21548</v>
      </c>
      <c r="H66" s="70"/>
    </row>
    <row r="67" spans="1:8" x14ac:dyDescent="0.25">
      <c r="A67" s="32" t="s">
        <v>185</v>
      </c>
      <c r="B67" s="21" t="s">
        <v>366</v>
      </c>
      <c r="C67" s="73">
        <v>3746</v>
      </c>
      <c r="H67" s="70"/>
    </row>
    <row r="68" spans="1:8" x14ac:dyDescent="0.25">
      <c r="A68" s="32" t="s">
        <v>184</v>
      </c>
      <c r="B68" s="21" t="s">
        <v>361</v>
      </c>
      <c r="C68" s="72">
        <v>46</v>
      </c>
      <c r="H68" s="70"/>
    </row>
    <row r="69" spans="1:8" x14ac:dyDescent="0.25">
      <c r="A69" s="32" t="s">
        <v>47</v>
      </c>
      <c r="B69" s="21" t="s">
        <v>356</v>
      </c>
      <c r="C69" s="73">
        <v>9694</v>
      </c>
      <c r="H69" s="70"/>
    </row>
    <row r="70" spans="1:8" x14ac:dyDescent="0.25">
      <c r="A70" s="32" t="s">
        <v>92</v>
      </c>
      <c r="B70" s="21" t="s">
        <v>353</v>
      </c>
      <c r="C70" s="72">
        <v>9212</v>
      </c>
      <c r="H70" s="70"/>
    </row>
    <row r="71" spans="1:8" x14ac:dyDescent="0.25">
      <c r="A71" s="32" t="s">
        <v>183</v>
      </c>
      <c r="B71" s="21" t="s">
        <v>353</v>
      </c>
      <c r="C71" s="73">
        <v>1832</v>
      </c>
      <c r="H71" s="70"/>
    </row>
    <row r="72" spans="1:8" x14ac:dyDescent="0.25">
      <c r="A72" s="32" t="s">
        <v>46</v>
      </c>
      <c r="B72" s="21" t="s">
        <v>356</v>
      </c>
      <c r="C72" s="72">
        <v>2473</v>
      </c>
      <c r="H72" s="70"/>
    </row>
    <row r="73" spans="1:8" x14ac:dyDescent="0.25">
      <c r="A73" s="32" t="s">
        <v>90</v>
      </c>
      <c r="B73" s="21" t="s">
        <v>353</v>
      </c>
      <c r="C73" s="73">
        <v>19990</v>
      </c>
      <c r="H73" s="70"/>
    </row>
    <row r="74" spans="1:8" x14ac:dyDescent="0.25">
      <c r="A74" s="32" t="s">
        <v>45</v>
      </c>
      <c r="B74" s="21" t="s">
        <v>356</v>
      </c>
      <c r="C74" s="72">
        <v>6288</v>
      </c>
      <c r="H74" s="70"/>
    </row>
    <row r="75" spans="1:8" x14ac:dyDescent="0.25">
      <c r="A75" s="32" t="s">
        <v>182</v>
      </c>
      <c r="B75" s="21" t="s">
        <v>366</v>
      </c>
      <c r="C75" s="73">
        <v>559</v>
      </c>
      <c r="H75" s="70"/>
    </row>
    <row r="76" spans="1:8" x14ac:dyDescent="0.25">
      <c r="A76" s="32" t="s">
        <v>181</v>
      </c>
      <c r="B76" s="21" t="s">
        <v>366</v>
      </c>
      <c r="C76" s="72">
        <v>100</v>
      </c>
      <c r="H76" s="70"/>
    </row>
    <row r="77" spans="1:8" x14ac:dyDescent="0.25">
      <c r="A77" s="32" t="s">
        <v>44</v>
      </c>
      <c r="B77" s="21" t="s">
        <v>823</v>
      </c>
      <c r="C77" s="72">
        <v>234581</v>
      </c>
      <c r="H77" s="70"/>
    </row>
    <row r="78" spans="1:8" x14ac:dyDescent="0.25">
      <c r="A78" s="32" t="s">
        <v>43</v>
      </c>
      <c r="B78" s="21" t="s">
        <v>823</v>
      </c>
      <c r="C78" s="73">
        <v>10606</v>
      </c>
      <c r="H78" s="70"/>
    </row>
    <row r="79" spans="1:8" x14ac:dyDescent="0.25">
      <c r="A79" s="32" t="s">
        <v>180</v>
      </c>
      <c r="B79" s="21" t="s">
        <v>361</v>
      </c>
      <c r="C79" s="72">
        <v>878</v>
      </c>
      <c r="H79" s="70"/>
    </row>
    <row r="80" spans="1:8" x14ac:dyDescent="0.25">
      <c r="A80" s="32" t="s">
        <v>42</v>
      </c>
      <c r="B80" s="21" t="s">
        <v>356</v>
      </c>
      <c r="C80" s="73">
        <v>4</v>
      </c>
      <c r="H80" s="70"/>
    </row>
    <row r="81" spans="1:9" x14ac:dyDescent="0.25">
      <c r="A81" s="32" t="s">
        <v>179</v>
      </c>
      <c r="B81" s="21" t="s">
        <v>366</v>
      </c>
      <c r="C81" s="73">
        <v>1600</v>
      </c>
      <c r="H81" s="70"/>
    </row>
    <row r="82" spans="1:9" x14ac:dyDescent="0.25">
      <c r="A82" s="32" t="s">
        <v>178</v>
      </c>
      <c r="B82" s="21" t="s">
        <v>366</v>
      </c>
      <c r="C82" s="72">
        <v>2876</v>
      </c>
      <c r="H82" s="70"/>
    </row>
    <row r="83" spans="1:9" x14ac:dyDescent="0.25">
      <c r="A83" s="32" t="s">
        <v>177</v>
      </c>
      <c r="B83" s="21" t="s">
        <v>366</v>
      </c>
      <c r="C83" s="73">
        <v>95000</v>
      </c>
      <c r="H83" s="70"/>
    </row>
    <row r="84" spans="1:9" x14ac:dyDescent="0.25">
      <c r="A84" s="32" t="s">
        <v>176</v>
      </c>
      <c r="B84" s="21" t="s">
        <v>361</v>
      </c>
      <c r="C84" s="72">
        <v>4444</v>
      </c>
      <c r="H84" s="70"/>
    </row>
    <row r="85" spans="1:9" x14ac:dyDescent="0.25">
      <c r="A85" s="32" t="s">
        <v>175</v>
      </c>
      <c r="B85" s="21" t="s">
        <v>366</v>
      </c>
      <c r="C85" s="72">
        <v>48</v>
      </c>
      <c r="H85" s="70"/>
    </row>
    <row r="86" spans="1:9" x14ac:dyDescent="0.25">
      <c r="A86" s="32" t="s">
        <v>41</v>
      </c>
      <c r="B86" s="21" t="s">
        <v>356</v>
      </c>
      <c r="C86" s="73">
        <v>58</v>
      </c>
      <c r="H86" s="70"/>
    </row>
    <row r="87" spans="1:9" x14ac:dyDescent="0.25">
      <c r="A87" s="32" t="s">
        <v>174</v>
      </c>
      <c r="B87" s="21" t="s">
        <v>361</v>
      </c>
      <c r="C87" s="72">
        <v>707</v>
      </c>
      <c r="H87" s="70"/>
    </row>
    <row r="88" spans="1:9" x14ac:dyDescent="0.25">
      <c r="A88" s="32" t="s">
        <v>89</v>
      </c>
      <c r="B88" s="21" t="s">
        <v>353</v>
      </c>
      <c r="C88" s="73">
        <v>250576</v>
      </c>
      <c r="H88" s="70"/>
    </row>
    <row r="89" spans="1:9" x14ac:dyDescent="0.25">
      <c r="A89" s="32" t="s">
        <v>173</v>
      </c>
      <c r="B89" s="21" t="s">
        <v>366</v>
      </c>
      <c r="C89" s="72">
        <v>0</v>
      </c>
      <c r="H89" s="70"/>
    </row>
    <row r="90" spans="1:9" x14ac:dyDescent="0.25">
      <c r="A90" s="32" t="s">
        <v>172</v>
      </c>
      <c r="B90" s="21" t="s">
        <v>353</v>
      </c>
      <c r="C90" s="73">
        <v>89</v>
      </c>
      <c r="H90" s="70"/>
    </row>
    <row r="91" spans="1:9" x14ac:dyDescent="0.25">
      <c r="A91" s="32" t="s">
        <v>171</v>
      </c>
      <c r="B91" s="21" t="s">
        <v>356</v>
      </c>
      <c r="C91" s="72">
        <v>1009</v>
      </c>
      <c r="H91" s="70"/>
      <c r="I91" s="72"/>
    </row>
    <row r="92" spans="1:9" x14ac:dyDescent="0.25">
      <c r="A92" s="32" t="s">
        <v>170</v>
      </c>
      <c r="B92" s="21" t="s">
        <v>361</v>
      </c>
      <c r="C92" s="73">
        <v>334</v>
      </c>
      <c r="H92" s="70"/>
      <c r="I92" s="76"/>
    </row>
    <row r="93" spans="1:9" x14ac:dyDescent="0.25">
      <c r="A93" s="32" t="s">
        <v>169</v>
      </c>
      <c r="B93" s="21" t="s">
        <v>361</v>
      </c>
      <c r="C93" s="72">
        <v>285</v>
      </c>
      <c r="H93" s="70"/>
    </row>
    <row r="94" spans="1:9" x14ac:dyDescent="0.25">
      <c r="A94" s="32" t="s">
        <v>38</v>
      </c>
      <c r="B94" s="21" t="s">
        <v>356</v>
      </c>
      <c r="C94" s="73">
        <v>45262</v>
      </c>
      <c r="H94" s="70"/>
    </row>
    <row r="95" spans="1:9" x14ac:dyDescent="0.25">
      <c r="A95" s="32" t="s">
        <v>85</v>
      </c>
      <c r="B95" s="21" t="s">
        <v>353</v>
      </c>
      <c r="C95" s="72">
        <v>2017</v>
      </c>
      <c r="H95" s="70"/>
    </row>
    <row r="96" spans="1:9" x14ac:dyDescent="0.25">
      <c r="A96" s="32" t="s">
        <v>168</v>
      </c>
      <c r="B96" s="21" t="s">
        <v>361</v>
      </c>
      <c r="C96" s="73">
        <v>1000</v>
      </c>
      <c r="H96" s="70"/>
    </row>
    <row r="97" spans="1:9" x14ac:dyDescent="0.25">
      <c r="A97" s="32" t="s">
        <v>167</v>
      </c>
      <c r="B97" s="21" t="s">
        <v>361</v>
      </c>
      <c r="C97" s="72">
        <v>127</v>
      </c>
      <c r="H97" s="70"/>
    </row>
    <row r="98" spans="1:9" x14ac:dyDescent="0.25">
      <c r="A98" s="32" t="s">
        <v>166</v>
      </c>
      <c r="B98" s="21" t="s">
        <v>366</v>
      </c>
      <c r="C98" s="72">
        <v>344</v>
      </c>
      <c r="H98" s="70"/>
    </row>
    <row r="99" spans="1:9" x14ac:dyDescent="0.25">
      <c r="A99" s="32" t="s">
        <v>84</v>
      </c>
      <c r="B99" s="21" t="s">
        <v>353</v>
      </c>
      <c r="C99" s="73">
        <v>162</v>
      </c>
      <c r="H99" s="70"/>
    </row>
    <row r="100" spans="1:9" x14ac:dyDescent="0.25">
      <c r="A100" s="32" t="s">
        <v>83</v>
      </c>
      <c r="B100" s="21" t="s">
        <v>353</v>
      </c>
      <c r="C100" s="72">
        <v>147497</v>
      </c>
      <c r="H100" s="70"/>
    </row>
    <row r="101" spans="1:9" x14ac:dyDescent="0.25">
      <c r="A101" s="32" t="s">
        <v>165</v>
      </c>
      <c r="B101" s="21" t="s">
        <v>361</v>
      </c>
      <c r="C101" s="79">
        <v>8197</v>
      </c>
      <c r="H101" s="70"/>
    </row>
    <row r="102" spans="1:9" x14ac:dyDescent="0.25">
      <c r="A102" s="32" t="s">
        <v>37</v>
      </c>
      <c r="B102" s="21" t="s">
        <v>361</v>
      </c>
      <c r="C102" s="72">
        <v>2</v>
      </c>
      <c r="H102" s="70"/>
    </row>
    <row r="103" spans="1:9" x14ac:dyDescent="0.25">
      <c r="A103" s="32" t="s">
        <v>82</v>
      </c>
      <c r="B103" s="21" t="s">
        <v>353</v>
      </c>
      <c r="C103" s="73">
        <v>16475</v>
      </c>
      <c r="H103" s="70"/>
    </row>
    <row r="104" spans="1:9" x14ac:dyDescent="0.25">
      <c r="A104" s="32" t="s">
        <v>164</v>
      </c>
      <c r="B104" s="21" t="s">
        <v>366</v>
      </c>
      <c r="C104" s="73">
        <v>65</v>
      </c>
      <c r="H104" s="70"/>
    </row>
    <row r="105" spans="1:9" x14ac:dyDescent="0.25">
      <c r="A105" s="32" t="s">
        <v>81</v>
      </c>
      <c r="B105" s="21" t="s">
        <v>356</v>
      </c>
      <c r="C105" s="73">
        <v>1072</v>
      </c>
      <c r="H105" s="70"/>
    </row>
    <row r="106" spans="1:9" x14ac:dyDescent="0.25">
      <c r="A106" s="32" t="s">
        <v>163</v>
      </c>
      <c r="B106" s="21" t="s">
        <v>361</v>
      </c>
      <c r="C106" s="72">
        <v>491</v>
      </c>
      <c r="H106" s="70"/>
    </row>
    <row r="107" spans="1:9" x14ac:dyDescent="0.25">
      <c r="A107" s="32" t="s">
        <v>162</v>
      </c>
      <c r="B107" s="21" t="s">
        <v>361</v>
      </c>
      <c r="C107" s="73">
        <v>55599</v>
      </c>
      <c r="H107" s="70"/>
    </row>
    <row r="108" spans="1:9" x14ac:dyDescent="0.25">
      <c r="A108" s="32" t="s">
        <v>447</v>
      </c>
      <c r="B108" s="21" t="s">
        <v>356</v>
      </c>
      <c r="C108" s="72">
        <v>2</v>
      </c>
      <c r="H108" s="70"/>
      <c r="I108" s="72"/>
    </row>
    <row r="109" spans="1:9" x14ac:dyDescent="0.25">
      <c r="A109" s="32" t="s">
        <v>33</v>
      </c>
      <c r="B109" s="21" t="s">
        <v>356</v>
      </c>
      <c r="C109" s="73">
        <v>5</v>
      </c>
      <c r="H109" s="70"/>
    </row>
    <row r="110" spans="1:9" x14ac:dyDescent="0.25">
      <c r="A110" s="32" t="s">
        <v>159</v>
      </c>
      <c r="B110" s="21" t="s">
        <v>361</v>
      </c>
      <c r="C110" s="72">
        <v>25</v>
      </c>
      <c r="H110" s="70"/>
    </row>
    <row r="111" spans="1:9" x14ac:dyDescent="0.25">
      <c r="A111" s="32" t="s">
        <v>32</v>
      </c>
      <c r="B111" s="21" t="s">
        <v>356</v>
      </c>
      <c r="C111" s="73">
        <v>2207</v>
      </c>
      <c r="H111" s="70"/>
    </row>
    <row r="112" spans="1:9" x14ac:dyDescent="0.25">
      <c r="A112" s="32" t="s">
        <v>80</v>
      </c>
      <c r="B112" s="21" t="s">
        <v>353</v>
      </c>
      <c r="C112" s="72">
        <v>128330</v>
      </c>
      <c r="H112" s="70"/>
    </row>
    <row r="113" spans="1:9" x14ac:dyDescent="0.25">
      <c r="A113" s="32" t="s">
        <v>79</v>
      </c>
      <c r="B113" s="21" t="s">
        <v>353</v>
      </c>
      <c r="C113" s="73">
        <v>15191</v>
      </c>
      <c r="H113" s="70"/>
      <c r="I113" s="72"/>
    </row>
    <row r="114" spans="1:9" x14ac:dyDescent="0.25">
      <c r="A114" s="32" t="s">
        <v>158</v>
      </c>
      <c r="B114" s="21" t="s">
        <v>361</v>
      </c>
      <c r="C114" s="72">
        <v>59376</v>
      </c>
      <c r="H114" s="70"/>
    </row>
    <row r="115" spans="1:9" x14ac:dyDescent="0.25">
      <c r="A115" s="32" t="s">
        <v>78</v>
      </c>
      <c r="B115" s="21" t="s">
        <v>353</v>
      </c>
      <c r="C115" s="72">
        <v>1992</v>
      </c>
      <c r="H115" s="70"/>
    </row>
    <row r="116" spans="1:9" x14ac:dyDescent="0.25">
      <c r="A116" s="32" t="s">
        <v>156</v>
      </c>
      <c r="B116" s="21" t="s">
        <v>366</v>
      </c>
      <c r="C116" s="73">
        <v>7919</v>
      </c>
      <c r="H116" s="70"/>
    </row>
    <row r="117" spans="1:9" x14ac:dyDescent="0.25">
      <c r="A117" s="32" t="s">
        <v>155</v>
      </c>
      <c r="B117" s="21" t="s">
        <v>366</v>
      </c>
      <c r="C117" s="72">
        <v>0</v>
      </c>
      <c r="H117" s="70"/>
    </row>
    <row r="118" spans="1:9" x14ac:dyDescent="0.25">
      <c r="A118" s="32" t="s">
        <v>31</v>
      </c>
      <c r="B118" s="21" t="s">
        <v>356</v>
      </c>
      <c r="C118" s="73">
        <v>744</v>
      </c>
      <c r="H118" s="70"/>
    </row>
    <row r="119" spans="1:9" x14ac:dyDescent="0.25">
      <c r="A119" s="32" t="s">
        <v>77</v>
      </c>
      <c r="B119" s="21" t="s">
        <v>353</v>
      </c>
      <c r="C119" s="72">
        <v>2846</v>
      </c>
      <c r="H119" s="70"/>
    </row>
    <row r="120" spans="1:9" x14ac:dyDescent="0.25">
      <c r="A120" s="32" t="s">
        <v>110</v>
      </c>
      <c r="B120" s="21" t="s">
        <v>823</v>
      </c>
      <c r="C120" s="73">
        <v>238659</v>
      </c>
      <c r="H120" s="70"/>
      <c r="I120" s="72"/>
    </row>
    <row r="121" spans="1:9" x14ac:dyDescent="0.25">
      <c r="A121" s="32" t="s">
        <v>153</v>
      </c>
      <c r="B121" s="21" t="s">
        <v>366</v>
      </c>
      <c r="C121" s="73">
        <v>900</v>
      </c>
      <c r="H121" s="70"/>
    </row>
    <row r="122" spans="1:9" x14ac:dyDescent="0.25">
      <c r="A122" s="32" t="s">
        <v>152</v>
      </c>
      <c r="B122" s="21" t="s">
        <v>366</v>
      </c>
      <c r="C122" s="73">
        <v>412</v>
      </c>
      <c r="H122" s="70"/>
    </row>
    <row r="123" spans="1:9" x14ac:dyDescent="0.25">
      <c r="A123" s="32" t="s">
        <v>151</v>
      </c>
      <c r="B123" s="21" t="s">
        <v>823</v>
      </c>
      <c r="C123" s="72">
        <v>875</v>
      </c>
      <c r="H123" s="70"/>
      <c r="I123" s="76"/>
    </row>
    <row r="124" spans="1:9" x14ac:dyDescent="0.25">
      <c r="A124" s="32" t="s">
        <v>149</v>
      </c>
      <c r="B124" s="21" t="s">
        <v>361</v>
      </c>
      <c r="C124" s="72">
        <v>3972</v>
      </c>
      <c r="H124" s="70"/>
    </row>
    <row r="125" spans="1:9" x14ac:dyDescent="0.25">
      <c r="A125" s="32" t="s">
        <v>109</v>
      </c>
      <c r="B125" s="21" t="s">
        <v>356</v>
      </c>
      <c r="C125" s="73">
        <v>5195</v>
      </c>
      <c r="H125" s="70"/>
    </row>
    <row r="126" spans="1:9" x14ac:dyDescent="0.25">
      <c r="A126" s="32" t="s">
        <v>27</v>
      </c>
      <c r="B126" s="21" t="s">
        <v>356</v>
      </c>
      <c r="C126" s="72">
        <v>1613</v>
      </c>
      <c r="H126" s="70"/>
    </row>
    <row r="127" spans="1:9" x14ac:dyDescent="0.25">
      <c r="A127" s="32" t="s">
        <v>148</v>
      </c>
      <c r="B127" s="21" t="s">
        <v>361</v>
      </c>
      <c r="C127" s="73">
        <v>10232</v>
      </c>
      <c r="H127" s="70"/>
      <c r="I127" s="72"/>
    </row>
    <row r="128" spans="1:9" x14ac:dyDescent="0.25">
      <c r="A128" s="32" t="s">
        <v>26</v>
      </c>
      <c r="B128" s="21" t="s">
        <v>356</v>
      </c>
      <c r="C128" s="72">
        <v>532</v>
      </c>
      <c r="H128" s="70"/>
    </row>
    <row r="129" spans="1:9" x14ac:dyDescent="0.25">
      <c r="A129" s="32" t="s">
        <v>147</v>
      </c>
      <c r="B129" s="21" t="s">
        <v>366</v>
      </c>
      <c r="C129" s="73">
        <v>3822</v>
      </c>
      <c r="H129" s="70"/>
    </row>
    <row r="130" spans="1:9" x14ac:dyDescent="0.25">
      <c r="A130" s="32" t="s">
        <v>146</v>
      </c>
      <c r="B130" s="21" t="s">
        <v>366</v>
      </c>
      <c r="C130" s="72">
        <v>12366</v>
      </c>
      <c r="H130" s="70"/>
    </row>
    <row r="131" spans="1:9" x14ac:dyDescent="0.25">
      <c r="A131" s="32" t="s">
        <v>145</v>
      </c>
      <c r="B131" s="21" t="s">
        <v>366</v>
      </c>
      <c r="C131" s="75">
        <v>0</v>
      </c>
      <c r="H131" s="70"/>
      <c r="I131" s="72"/>
    </row>
    <row r="132" spans="1:9" x14ac:dyDescent="0.25">
      <c r="A132" s="32" t="s">
        <v>144</v>
      </c>
      <c r="B132" s="21" t="s">
        <v>366</v>
      </c>
      <c r="C132">
        <v>0</v>
      </c>
      <c r="H132" s="70"/>
    </row>
    <row r="133" spans="1:9" x14ac:dyDescent="0.25">
      <c r="A133" s="32" t="s">
        <v>143</v>
      </c>
      <c r="B133" s="21" t="s">
        <v>356</v>
      </c>
      <c r="C133" s="72">
        <v>682</v>
      </c>
      <c r="H133" s="70"/>
    </row>
    <row r="134" spans="1:9" x14ac:dyDescent="0.25">
      <c r="A134" s="32" t="s">
        <v>142</v>
      </c>
      <c r="B134" s="21" t="s">
        <v>361</v>
      </c>
      <c r="C134" s="73">
        <v>7434</v>
      </c>
      <c r="H134" s="70"/>
    </row>
    <row r="135" spans="1:9" x14ac:dyDescent="0.25">
      <c r="A135" s="32" t="s">
        <v>141</v>
      </c>
      <c r="B135" s="21" t="s">
        <v>361</v>
      </c>
      <c r="C135" s="72">
        <v>54900</v>
      </c>
      <c r="H135" s="70"/>
    </row>
    <row r="136" spans="1:9" x14ac:dyDescent="0.25">
      <c r="A136" s="32" t="s">
        <v>76</v>
      </c>
      <c r="B136" s="21" t="s">
        <v>353</v>
      </c>
      <c r="C136" s="73">
        <v>63149</v>
      </c>
      <c r="H136" s="70"/>
    </row>
    <row r="137" spans="1:9" x14ac:dyDescent="0.25">
      <c r="A137" s="32" t="s">
        <v>139</v>
      </c>
      <c r="B137" s="21" t="s">
        <v>361</v>
      </c>
      <c r="C137" s="73">
        <v>85</v>
      </c>
      <c r="H137" s="70"/>
    </row>
    <row r="138" spans="1:9" x14ac:dyDescent="0.25">
      <c r="A138" s="32" t="s">
        <v>138</v>
      </c>
      <c r="B138" s="21" t="s">
        <v>361</v>
      </c>
      <c r="C138" s="72">
        <v>120</v>
      </c>
      <c r="H138" s="70"/>
    </row>
    <row r="139" spans="1:9" x14ac:dyDescent="0.25">
      <c r="A139" s="32" t="s">
        <v>25</v>
      </c>
      <c r="B139" s="21" t="s">
        <v>356</v>
      </c>
      <c r="C139" s="73">
        <v>8</v>
      </c>
      <c r="H139" s="70"/>
    </row>
    <row r="140" spans="1:9" x14ac:dyDescent="0.25">
      <c r="A140" s="32" t="s">
        <v>108</v>
      </c>
      <c r="B140" s="21" t="s">
        <v>356</v>
      </c>
      <c r="C140" s="71">
        <v>109</v>
      </c>
      <c r="H140" s="70"/>
      <c r="I140" s="76"/>
    </row>
    <row r="141" spans="1:9" x14ac:dyDescent="0.25">
      <c r="A141" s="32" t="s">
        <v>136</v>
      </c>
      <c r="B141" s="21" t="s">
        <v>366</v>
      </c>
      <c r="C141" s="71">
        <v>865</v>
      </c>
      <c r="H141" s="70"/>
    </row>
    <row r="142" spans="1:9" x14ac:dyDescent="0.25">
      <c r="A142" s="32" t="s">
        <v>23</v>
      </c>
      <c r="B142" s="21" t="s">
        <v>356</v>
      </c>
      <c r="C142" s="73">
        <v>9252</v>
      </c>
      <c r="H142" s="70"/>
    </row>
    <row r="143" spans="1:9" x14ac:dyDescent="0.25">
      <c r="A143" s="32" t="s">
        <v>135</v>
      </c>
      <c r="B143" s="21" t="s">
        <v>361</v>
      </c>
      <c r="C143" s="72">
        <v>842</v>
      </c>
      <c r="H143" s="70"/>
    </row>
    <row r="144" spans="1:9" x14ac:dyDescent="0.25">
      <c r="A144" s="32" t="s">
        <v>75</v>
      </c>
      <c r="B144" s="21" t="s">
        <v>353</v>
      </c>
      <c r="C144" s="72">
        <v>1950</v>
      </c>
      <c r="H144" s="70"/>
    </row>
    <row r="145" spans="1:9" x14ac:dyDescent="0.25">
      <c r="A145" s="32" t="s">
        <v>133</v>
      </c>
      <c r="B145" s="21" t="s">
        <v>366</v>
      </c>
      <c r="C145" s="71">
        <v>0</v>
      </c>
      <c r="H145" s="70"/>
      <c r="I145" s="72"/>
    </row>
    <row r="146" spans="1:9" x14ac:dyDescent="0.25">
      <c r="A146" s="32" t="s">
        <v>132</v>
      </c>
      <c r="B146" s="21" t="s">
        <v>366</v>
      </c>
      <c r="C146" s="74">
        <v>97</v>
      </c>
      <c r="H146" s="70"/>
    </row>
    <row r="147" spans="1:9" x14ac:dyDescent="0.25">
      <c r="A147" s="32" t="s">
        <v>131</v>
      </c>
      <c r="B147" s="21" t="s">
        <v>366</v>
      </c>
      <c r="C147" s="72">
        <v>157</v>
      </c>
      <c r="H147" s="70"/>
    </row>
    <row r="148" spans="1:9" x14ac:dyDescent="0.25">
      <c r="A148" s="32" t="s">
        <v>74</v>
      </c>
      <c r="B148" s="21" t="s">
        <v>356</v>
      </c>
      <c r="C148" s="72">
        <v>3</v>
      </c>
      <c r="H148" s="70"/>
    </row>
    <row r="149" spans="1:9" x14ac:dyDescent="0.25">
      <c r="A149" s="32" t="s">
        <v>130</v>
      </c>
      <c r="B149" s="21" t="s">
        <v>353</v>
      </c>
      <c r="C149" s="73">
        <v>413</v>
      </c>
      <c r="H149" s="70"/>
      <c r="I149" s="76"/>
    </row>
    <row r="150" spans="1:9" x14ac:dyDescent="0.25">
      <c r="A150" s="32" t="s">
        <v>129</v>
      </c>
      <c r="B150" s="21" t="s">
        <v>361</v>
      </c>
      <c r="C150" s="72">
        <v>730183</v>
      </c>
      <c r="H150" s="78"/>
    </row>
    <row r="151" spans="1:9" x14ac:dyDescent="0.25">
      <c r="A151" s="32" t="s">
        <v>128</v>
      </c>
      <c r="B151" s="21" t="s">
        <v>366</v>
      </c>
      <c r="C151" s="73">
        <v>82710</v>
      </c>
      <c r="H151" s="77"/>
    </row>
    <row r="152" spans="1:9" x14ac:dyDescent="0.25">
      <c r="A152" s="32" t="s">
        <v>22</v>
      </c>
      <c r="B152" s="21" t="s">
        <v>356</v>
      </c>
      <c r="C152" s="73">
        <v>142</v>
      </c>
      <c r="H152" s="70"/>
    </row>
    <row r="153" spans="1:9" x14ac:dyDescent="0.25">
      <c r="A153" s="32" t="s">
        <v>21</v>
      </c>
      <c r="B153" s="21" t="s">
        <v>356</v>
      </c>
      <c r="C153" s="72">
        <v>1151</v>
      </c>
      <c r="H153" s="70"/>
    </row>
    <row r="154" spans="1:9" x14ac:dyDescent="0.25">
      <c r="A154" s="32" t="s">
        <v>127</v>
      </c>
      <c r="B154" s="21" t="s">
        <v>361</v>
      </c>
      <c r="C154" s="73">
        <v>858</v>
      </c>
      <c r="H154" s="70"/>
      <c r="I154" s="72"/>
    </row>
    <row r="155" spans="1:9" x14ac:dyDescent="0.25">
      <c r="A155" s="32" t="s">
        <v>20</v>
      </c>
      <c r="B155" s="21" t="s">
        <v>356</v>
      </c>
      <c r="C155" s="72">
        <v>32701</v>
      </c>
      <c r="H155" s="70"/>
    </row>
    <row r="156" spans="1:9" x14ac:dyDescent="0.25">
      <c r="A156" s="32" t="s">
        <v>126</v>
      </c>
      <c r="B156" s="21" t="s">
        <v>366</v>
      </c>
      <c r="C156" s="72">
        <v>2800</v>
      </c>
      <c r="H156" s="70"/>
      <c r="I156" s="76"/>
    </row>
    <row r="157" spans="1:9" x14ac:dyDescent="0.25">
      <c r="A157" s="32" t="s">
        <v>125</v>
      </c>
      <c r="B157" s="21" t="s">
        <v>366</v>
      </c>
      <c r="C157" s="75" t="s">
        <v>658</v>
      </c>
      <c r="H157" s="70"/>
    </row>
    <row r="158" spans="1:9" x14ac:dyDescent="0.25">
      <c r="A158" s="32" t="s">
        <v>19</v>
      </c>
      <c r="B158" s="21" t="s">
        <v>356</v>
      </c>
      <c r="C158" s="73">
        <v>73</v>
      </c>
      <c r="H158" s="70"/>
    </row>
    <row r="159" spans="1:9" x14ac:dyDescent="0.25">
      <c r="A159" s="32" t="s">
        <v>72</v>
      </c>
      <c r="B159" s="21" t="s">
        <v>353</v>
      </c>
      <c r="C159" s="72">
        <v>138</v>
      </c>
      <c r="H159" s="70"/>
    </row>
    <row r="160" spans="1:9" x14ac:dyDescent="0.25">
      <c r="A160" s="32" t="s">
        <v>384</v>
      </c>
      <c r="B160" s="21" t="s">
        <v>361</v>
      </c>
      <c r="C160" s="72">
        <v>23</v>
      </c>
      <c r="H160" s="70"/>
    </row>
    <row r="161" spans="1:8" x14ac:dyDescent="0.25">
      <c r="A161" s="32" t="s">
        <v>18</v>
      </c>
      <c r="B161" s="21" t="s">
        <v>361</v>
      </c>
      <c r="C161" s="73">
        <v>185086</v>
      </c>
      <c r="H161" s="70"/>
    </row>
    <row r="162" spans="1:8" x14ac:dyDescent="0.25">
      <c r="A162" s="32" t="s">
        <v>17</v>
      </c>
      <c r="B162" s="21" t="s">
        <v>356</v>
      </c>
      <c r="C162" s="73">
        <v>29</v>
      </c>
      <c r="H162" s="70"/>
    </row>
    <row r="163" spans="1:8" x14ac:dyDescent="0.25">
      <c r="A163" s="32" t="s">
        <v>70</v>
      </c>
      <c r="B163" s="21" t="s">
        <v>353</v>
      </c>
      <c r="C163" s="72">
        <v>11211</v>
      </c>
      <c r="H163" s="70"/>
    </row>
    <row r="164" spans="1:8" x14ac:dyDescent="0.25">
      <c r="A164" s="32" t="s">
        <v>16</v>
      </c>
      <c r="B164" s="21" t="s">
        <v>356</v>
      </c>
      <c r="C164" s="74">
        <v>2</v>
      </c>
      <c r="H164" s="70"/>
    </row>
    <row r="165" spans="1:8" x14ac:dyDescent="0.25">
      <c r="A165" s="32" t="s">
        <v>123</v>
      </c>
      <c r="B165" s="21" t="s">
        <v>366</v>
      </c>
      <c r="C165" s="72">
        <v>3172</v>
      </c>
      <c r="H165" s="70"/>
    </row>
    <row r="166" spans="1:8" x14ac:dyDescent="0.25">
      <c r="A166" s="32" t="s">
        <v>15</v>
      </c>
      <c r="B166" s="21" t="s">
        <v>361</v>
      </c>
      <c r="C166" s="72">
        <v>326</v>
      </c>
      <c r="H166" s="70"/>
    </row>
    <row r="167" spans="1:8" x14ac:dyDescent="0.25">
      <c r="A167" s="32" t="s">
        <v>122</v>
      </c>
      <c r="B167" s="21" t="s">
        <v>361</v>
      </c>
      <c r="C167" s="73">
        <v>900</v>
      </c>
      <c r="H167" s="70"/>
    </row>
    <row r="168" spans="1:8" x14ac:dyDescent="0.25">
      <c r="A168" s="32" t="s">
        <v>121</v>
      </c>
      <c r="B168" s="21" t="s">
        <v>356</v>
      </c>
      <c r="C168" s="72">
        <v>0</v>
      </c>
      <c r="H168" s="70"/>
    </row>
    <row r="169" spans="1:8" x14ac:dyDescent="0.25">
      <c r="A169" s="32" t="s">
        <v>69</v>
      </c>
      <c r="B169" s="21" t="s">
        <v>353</v>
      </c>
      <c r="C169" s="72">
        <v>153718</v>
      </c>
      <c r="H169" s="70"/>
    </row>
    <row r="170" spans="1:8" x14ac:dyDescent="0.25">
      <c r="A170" s="32" t="s">
        <v>11</v>
      </c>
      <c r="B170" s="21" t="s">
        <v>356</v>
      </c>
      <c r="C170" s="73">
        <v>10629</v>
      </c>
      <c r="H170" s="70"/>
    </row>
    <row r="171" spans="1:8" x14ac:dyDescent="0.25">
      <c r="A171" s="32" t="s">
        <v>120</v>
      </c>
      <c r="B171" s="21" t="s">
        <v>366</v>
      </c>
      <c r="C171" s="74">
        <v>59</v>
      </c>
      <c r="H171" s="70"/>
    </row>
    <row r="172" spans="1:8" x14ac:dyDescent="0.25">
      <c r="A172" s="32" t="s">
        <v>119</v>
      </c>
      <c r="B172" s="21" t="s">
        <v>366</v>
      </c>
      <c r="C172" s="71">
        <v>39556</v>
      </c>
      <c r="H172" s="70"/>
    </row>
    <row r="173" spans="1:8" x14ac:dyDescent="0.25">
      <c r="A173" s="32" t="s">
        <v>118</v>
      </c>
      <c r="B173" s="21" t="s">
        <v>353</v>
      </c>
      <c r="C173" s="71">
        <v>154468</v>
      </c>
      <c r="H173" s="70"/>
    </row>
    <row r="174" spans="1:8" x14ac:dyDescent="0.25">
      <c r="A174" s="32" t="s">
        <v>117</v>
      </c>
      <c r="B174" s="21" t="s">
        <v>366</v>
      </c>
      <c r="C174" s="73">
        <v>268000</v>
      </c>
      <c r="H174" s="70"/>
    </row>
    <row r="175" spans="1:8" x14ac:dyDescent="0.25">
      <c r="A175" s="32" t="s">
        <v>116</v>
      </c>
      <c r="B175" s="21" t="s">
        <v>361</v>
      </c>
      <c r="C175" s="72">
        <v>1200</v>
      </c>
      <c r="H175" s="70"/>
    </row>
    <row r="176" spans="1:8" x14ac:dyDescent="0.25">
      <c r="A176" s="32" t="s">
        <v>9</v>
      </c>
      <c r="B176" s="21" t="s">
        <v>356</v>
      </c>
      <c r="C176" s="73">
        <v>2</v>
      </c>
      <c r="H176" s="70"/>
    </row>
    <row r="177" spans="1:9" x14ac:dyDescent="0.25">
      <c r="A177" s="32" t="s">
        <v>8</v>
      </c>
      <c r="B177" s="21" t="s">
        <v>356</v>
      </c>
      <c r="H177" s="70"/>
    </row>
    <row r="178" spans="1:9" x14ac:dyDescent="0.25">
      <c r="A178" s="32" t="s">
        <v>115</v>
      </c>
      <c r="B178" s="21" t="s">
        <v>361</v>
      </c>
      <c r="C178" s="72">
        <v>27240</v>
      </c>
      <c r="H178" s="70"/>
    </row>
    <row r="179" spans="1:9" x14ac:dyDescent="0.25">
      <c r="A179" s="32" t="s">
        <v>114</v>
      </c>
      <c r="B179" s="21" t="s">
        <v>356</v>
      </c>
      <c r="C179" s="74">
        <v>25597</v>
      </c>
      <c r="H179" s="70"/>
    </row>
    <row r="180" spans="1:9" x14ac:dyDescent="0.25">
      <c r="A180" s="32" t="s">
        <v>107</v>
      </c>
      <c r="B180" s="21" t="s">
        <v>356</v>
      </c>
      <c r="C180" s="72">
        <v>189</v>
      </c>
      <c r="H180" s="70"/>
      <c r="I180" s="71"/>
    </row>
    <row r="181" spans="1:9" x14ac:dyDescent="0.25">
      <c r="A181" s="32" t="s">
        <v>68</v>
      </c>
      <c r="B181" s="21" t="s">
        <v>356</v>
      </c>
      <c r="C181" s="73">
        <v>219576</v>
      </c>
      <c r="H181" s="70"/>
    </row>
    <row r="182" spans="1:9" x14ac:dyDescent="0.25">
      <c r="A182" s="29" t="s">
        <v>67</v>
      </c>
      <c r="B182" s="28" t="s">
        <v>353</v>
      </c>
      <c r="C182" s="72">
        <v>148144</v>
      </c>
      <c r="H182" s="70"/>
    </row>
    <row r="183" spans="1:9" x14ac:dyDescent="0.25">
      <c r="H183" s="70"/>
    </row>
    <row r="184" spans="1:9" x14ac:dyDescent="0.25">
      <c r="H184" s="70"/>
    </row>
    <row r="185" spans="1:9" x14ac:dyDescent="0.25">
      <c r="H185" s="70"/>
    </row>
    <row r="186" spans="1:9" x14ac:dyDescent="0.25">
      <c r="H186" s="70"/>
    </row>
    <row r="187" spans="1:9" x14ac:dyDescent="0.25">
      <c r="H187" s="70"/>
      <c r="I187" s="71"/>
    </row>
    <row r="188" spans="1:9" x14ac:dyDescent="0.25">
      <c r="H188" s="70"/>
    </row>
    <row r="189" spans="1:9" x14ac:dyDescent="0.25">
      <c r="H189" s="70"/>
    </row>
    <row r="190" spans="1:9" x14ac:dyDescent="0.25">
      <c r="H190" s="70"/>
    </row>
    <row r="191" spans="1:9" x14ac:dyDescent="0.25">
      <c r="H191" s="70"/>
    </row>
    <row r="192" spans="1:9" x14ac:dyDescent="0.25">
      <c r="H192" s="70"/>
    </row>
    <row r="193" spans="8:9" x14ac:dyDescent="0.25">
      <c r="H193" s="70"/>
    </row>
    <row r="194" spans="8:9" x14ac:dyDescent="0.25">
      <c r="H194" s="70"/>
    </row>
    <row r="195" spans="8:9" x14ac:dyDescent="0.25">
      <c r="H195" s="69"/>
      <c r="I195" s="68"/>
    </row>
  </sheetData>
  <autoFilter ref="A1:C18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497"/>
  <sheetViews>
    <sheetView topLeftCell="F1" workbookViewId="0">
      <selection activeCell="V4" sqref="V4"/>
    </sheetView>
  </sheetViews>
  <sheetFormatPr defaultRowHeight="12.75" x14ac:dyDescent="0.2"/>
  <cols>
    <col min="1" max="1" width="9.28515625" style="91" bestFit="1" customWidth="1"/>
    <col min="2" max="2" width="8.140625" style="91" bestFit="1" customWidth="1"/>
    <col min="3" max="3" width="9.140625" style="91"/>
    <col min="4" max="4" width="9.42578125" style="91" bestFit="1" customWidth="1"/>
    <col min="5" max="5" width="11.140625" style="91" bestFit="1" customWidth="1"/>
    <col min="6" max="6" width="10.140625" style="91" bestFit="1" customWidth="1"/>
    <col min="7" max="14" width="11.140625" style="91" bestFit="1" customWidth="1"/>
    <col min="15" max="15" width="10.140625" style="91" bestFit="1" customWidth="1"/>
    <col min="16" max="16" width="11.140625" style="91" bestFit="1" customWidth="1"/>
    <col min="17" max="19" width="9.140625" style="91"/>
    <col min="20" max="21" width="12.28515625" style="91" bestFit="1" customWidth="1"/>
    <col min="22" max="16384" width="9.140625" style="91"/>
  </cols>
  <sheetData>
    <row r="1" spans="1:21" ht="45.75" thickBot="1" x14ac:dyDescent="0.25">
      <c r="A1" s="103"/>
      <c r="B1" s="104"/>
      <c r="C1" s="104"/>
      <c r="D1" s="103"/>
      <c r="E1" s="103"/>
      <c r="F1" s="103"/>
      <c r="G1" s="103"/>
      <c r="H1" s="103"/>
      <c r="I1" s="103" t="s">
        <v>808</v>
      </c>
      <c r="J1" s="103"/>
      <c r="K1" s="103"/>
      <c r="L1" s="103"/>
      <c r="M1" s="103"/>
      <c r="N1" s="103"/>
      <c r="O1" s="103"/>
      <c r="P1" s="103" t="s">
        <v>807</v>
      </c>
      <c r="Q1" s="91" t="s">
        <v>806</v>
      </c>
    </row>
    <row r="2" spans="1:21" ht="31.5" thickTop="1" thickBot="1" x14ac:dyDescent="0.25">
      <c r="A2" s="103" t="s">
        <v>66</v>
      </c>
      <c r="B2" s="104" t="s">
        <v>805</v>
      </c>
      <c r="C2" s="104" t="s">
        <v>804</v>
      </c>
      <c r="D2" s="103">
        <v>2000</v>
      </c>
      <c r="E2" s="103">
        <v>2001</v>
      </c>
      <c r="F2" s="103">
        <v>2002</v>
      </c>
      <c r="G2" s="103">
        <v>2003</v>
      </c>
      <c r="H2" s="103">
        <v>2004</v>
      </c>
      <c r="I2" s="103">
        <v>2005</v>
      </c>
      <c r="J2" s="103">
        <v>2006</v>
      </c>
      <c r="K2" s="103">
        <v>2007</v>
      </c>
      <c r="L2" s="103">
        <v>2008</v>
      </c>
      <c r="M2" s="103">
        <v>2009</v>
      </c>
      <c r="N2" s="103">
        <v>2010</v>
      </c>
      <c r="O2" s="103">
        <v>2011</v>
      </c>
      <c r="P2" s="103"/>
    </row>
    <row r="3" spans="1:21" ht="31.5" thickTop="1" thickBot="1" x14ac:dyDescent="0.25">
      <c r="A3" s="101" t="s">
        <v>106</v>
      </c>
      <c r="B3" s="100" t="s">
        <v>718</v>
      </c>
      <c r="C3" s="100" t="s">
        <v>717</v>
      </c>
      <c r="D3" s="99"/>
      <c r="E3" s="99"/>
      <c r="F3" s="99"/>
      <c r="G3" s="99"/>
      <c r="H3" s="99"/>
      <c r="I3" s="99"/>
      <c r="J3" s="99"/>
      <c r="K3" s="99"/>
      <c r="L3" s="98">
        <v>100000</v>
      </c>
      <c r="M3" s="99"/>
      <c r="N3" s="99"/>
      <c r="O3" s="99"/>
      <c r="P3" s="98">
        <v>100000</v>
      </c>
      <c r="T3" s="91" t="s">
        <v>803</v>
      </c>
    </row>
    <row r="4" spans="1:21" ht="30.75" thickBot="1" x14ac:dyDescent="0.25">
      <c r="A4" s="101"/>
      <c r="B4" s="100"/>
      <c r="C4" s="100" t="s">
        <v>738</v>
      </c>
      <c r="D4" s="99"/>
      <c r="E4" s="99"/>
      <c r="F4" s="99"/>
      <c r="G4" s="99"/>
      <c r="H4" s="99"/>
      <c r="I4" s="99"/>
      <c r="J4" s="99"/>
      <c r="K4" s="99"/>
      <c r="L4" s="99"/>
      <c r="M4" s="98">
        <v>1018000</v>
      </c>
      <c r="N4" s="98">
        <v>1165000</v>
      </c>
      <c r="O4" s="99"/>
      <c r="P4" s="98">
        <v>2183000</v>
      </c>
      <c r="T4" s="91" t="s">
        <v>802</v>
      </c>
      <c r="U4" s="102">
        <f>1900873723-P197</f>
        <v>1819586080</v>
      </c>
    </row>
    <row r="5" spans="1:21" ht="15.75" thickBot="1" x14ac:dyDescent="0.25">
      <c r="A5" s="101"/>
      <c r="B5" s="100" t="s">
        <v>665</v>
      </c>
      <c r="C5" s="100" t="s">
        <v>665</v>
      </c>
      <c r="D5" s="99"/>
      <c r="E5" s="99"/>
      <c r="F5" s="99"/>
      <c r="G5" s="99"/>
      <c r="H5" s="99"/>
      <c r="I5" s="99"/>
      <c r="J5" s="99"/>
      <c r="K5" s="98">
        <v>6700000</v>
      </c>
      <c r="L5" s="98">
        <v>4595000</v>
      </c>
      <c r="M5" s="98">
        <v>7318000</v>
      </c>
      <c r="N5" s="98">
        <v>8157346</v>
      </c>
      <c r="O5" s="99"/>
      <c r="P5" s="98">
        <v>26770346</v>
      </c>
      <c r="T5" s="91" t="s">
        <v>801</v>
      </c>
      <c r="U5" s="102">
        <f>928256117+P197</f>
        <v>1009543760</v>
      </c>
    </row>
    <row r="6" spans="1:21" ht="15.75" thickBot="1" x14ac:dyDescent="0.25">
      <c r="A6" s="101"/>
      <c r="B6" s="100" t="s">
        <v>703</v>
      </c>
      <c r="C6" s="100" t="s">
        <v>703</v>
      </c>
      <c r="D6" s="99"/>
      <c r="E6" s="99"/>
      <c r="F6" s="99"/>
      <c r="G6" s="99"/>
      <c r="H6" s="98">
        <v>1026500</v>
      </c>
      <c r="I6" s="98">
        <v>650000</v>
      </c>
      <c r="J6" s="99"/>
      <c r="K6" s="99"/>
      <c r="L6" s="99"/>
      <c r="M6" s="99"/>
      <c r="N6" s="99"/>
      <c r="O6" s="99"/>
      <c r="P6" s="98">
        <v>1676500</v>
      </c>
    </row>
    <row r="7" spans="1:21" ht="15.75" thickBot="1" x14ac:dyDescent="0.25">
      <c r="A7" s="101"/>
      <c r="B7" s="100" t="s">
        <v>702</v>
      </c>
      <c r="C7" s="100" t="s">
        <v>702</v>
      </c>
      <c r="D7" s="99"/>
      <c r="E7" s="99"/>
      <c r="F7" s="99"/>
      <c r="G7" s="98">
        <v>519500</v>
      </c>
      <c r="H7" s="98">
        <v>519500</v>
      </c>
      <c r="I7" s="98">
        <v>1039000</v>
      </c>
      <c r="J7" s="98">
        <v>2791180</v>
      </c>
      <c r="K7" s="98">
        <v>2850620</v>
      </c>
      <c r="L7" s="98">
        <v>4726000</v>
      </c>
      <c r="M7" s="99"/>
      <c r="N7" s="98">
        <v>1410000</v>
      </c>
      <c r="O7" s="99"/>
      <c r="P7" s="98">
        <v>13855800</v>
      </c>
    </row>
    <row r="8" spans="1:21" ht="15.75" thickBot="1" x14ac:dyDescent="0.25">
      <c r="A8" s="101"/>
      <c r="B8" s="100" t="s">
        <v>701</v>
      </c>
      <c r="C8" s="100" t="s">
        <v>700</v>
      </c>
      <c r="D8" s="99"/>
      <c r="E8" s="99"/>
      <c r="F8" s="99"/>
      <c r="G8" s="99"/>
      <c r="H8" s="99"/>
      <c r="I8" s="99"/>
      <c r="J8" s="99"/>
      <c r="K8" s="99"/>
      <c r="L8" s="98">
        <v>8136881</v>
      </c>
      <c r="M8" s="98">
        <v>10345176</v>
      </c>
      <c r="N8" s="98">
        <v>12255011</v>
      </c>
      <c r="O8" s="98">
        <v>199737</v>
      </c>
      <c r="P8" s="98">
        <v>30936805</v>
      </c>
    </row>
    <row r="9" spans="1:21" ht="45.75" thickBot="1" x14ac:dyDescent="0.25">
      <c r="A9" s="101"/>
      <c r="B9" s="100"/>
      <c r="C9" s="100" t="s">
        <v>720</v>
      </c>
      <c r="D9" s="99"/>
      <c r="E9" s="99"/>
      <c r="F9" s="99"/>
      <c r="G9" s="99"/>
      <c r="H9" s="99"/>
      <c r="I9" s="99"/>
      <c r="J9" s="98">
        <v>6178912</v>
      </c>
      <c r="K9" s="98">
        <v>3965185</v>
      </c>
      <c r="L9" s="98">
        <v>909624</v>
      </c>
      <c r="M9" s="98">
        <v>-1150088</v>
      </c>
      <c r="N9" s="99"/>
      <c r="O9" s="99"/>
      <c r="P9" s="98">
        <v>9903633</v>
      </c>
    </row>
    <row r="10" spans="1:21" ht="75.75" thickBot="1" x14ac:dyDescent="0.25">
      <c r="A10" s="101"/>
      <c r="B10" s="100" t="s">
        <v>699</v>
      </c>
      <c r="C10" s="100" t="s">
        <v>699</v>
      </c>
      <c r="D10" s="99"/>
      <c r="E10" s="99"/>
      <c r="F10" s="99"/>
      <c r="G10" s="99"/>
      <c r="H10" s="99"/>
      <c r="I10" s="99"/>
      <c r="J10" s="98">
        <v>100000</v>
      </c>
      <c r="K10" s="99"/>
      <c r="L10" s="98">
        <v>404000</v>
      </c>
      <c r="M10" s="99"/>
      <c r="N10" s="99"/>
      <c r="O10" s="99"/>
      <c r="P10" s="98">
        <v>504000</v>
      </c>
    </row>
    <row r="11" spans="1:21" ht="30.75" thickBot="1" x14ac:dyDescent="0.25">
      <c r="A11" s="97" t="s">
        <v>800</v>
      </c>
      <c r="B11" s="97"/>
      <c r="C11" s="97"/>
      <c r="D11" s="96"/>
      <c r="E11" s="96"/>
      <c r="F11" s="96"/>
      <c r="G11" s="95">
        <v>519500</v>
      </c>
      <c r="H11" s="95">
        <v>1546000</v>
      </c>
      <c r="I11" s="95">
        <v>1689000</v>
      </c>
      <c r="J11" s="95">
        <v>9070092</v>
      </c>
      <c r="K11" s="95">
        <v>13515805</v>
      </c>
      <c r="L11" s="95">
        <v>18871505</v>
      </c>
      <c r="M11" s="95">
        <v>17531088</v>
      </c>
      <c r="N11" s="95">
        <v>22987357</v>
      </c>
      <c r="O11" s="95">
        <v>199737</v>
      </c>
      <c r="P11" s="95">
        <v>85930084</v>
      </c>
      <c r="Q11" s="91" t="s">
        <v>617</v>
      </c>
    </row>
    <row r="12" spans="1:21" ht="15.75" thickBot="1" x14ac:dyDescent="0.25">
      <c r="A12" s="101" t="s">
        <v>232</v>
      </c>
      <c r="B12" s="100" t="s">
        <v>703</v>
      </c>
      <c r="C12" s="100" t="s">
        <v>703</v>
      </c>
      <c r="D12" s="99"/>
      <c r="E12" s="99"/>
      <c r="F12" s="99"/>
      <c r="G12" s="98">
        <v>37424</v>
      </c>
      <c r="H12" s="98">
        <v>33693</v>
      </c>
      <c r="I12" s="98">
        <v>38118</v>
      </c>
      <c r="J12" s="99">
        <v>683</v>
      </c>
      <c r="K12" s="99">
        <v>459</v>
      </c>
      <c r="L12" s="99"/>
      <c r="M12" s="99"/>
      <c r="N12" s="99"/>
      <c r="O12" s="99"/>
      <c r="P12" s="98">
        <v>110377</v>
      </c>
    </row>
    <row r="13" spans="1:21" ht="30.75" thickBot="1" x14ac:dyDescent="0.25">
      <c r="A13" s="101"/>
      <c r="B13" s="100" t="s">
        <v>701</v>
      </c>
      <c r="C13" s="100" t="s">
        <v>710</v>
      </c>
      <c r="D13" s="99"/>
      <c r="E13" s="98">
        <v>145889</v>
      </c>
      <c r="F13" s="98">
        <v>52028</v>
      </c>
      <c r="G13" s="98">
        <v>53093</v>
      </c>
      <c r="H13" s="98">
        <v>19817</v>
      </c>
      <c r="I13" s="98">
        <v>133209</v>
      </c>
      <c r="J13" s="99">
        <v>-559</v>
      </c>
      <c r="K13" s="99">
        <v>-85</v>
      </c>
      <c r="L13" s="99"/>
      <c r="M13" s="99"/>
      <c r="N13" s="99"/>
      <c r="O13" s="99"/>
      <c r="P13" s="98">
        <v>403392</v>
      </c>
    </row>
    <row r="14" spans="1:21" ht="30.75" thickBot="1" x14ac:dyDescent="0.25">
      <c r="A14" s="101"/>
      <c r="B14" s="100"/>
      <c r="C14" s="100" t="s">
        <v>772</v>
      </c>
      <c r="D14" s="99"/>
      <c r="E14" s="99"/>
      <c r="F14" s="99"/>
      <c r="G14" s="99"/>
      <c r="H14" s="99"/>
      <c r="I14" s="99"/>
      <c r="J14" s="99"/>
      <c r="K14" s="99"/>
      <c r="L14" s="98">
        <v>564408</v>
      </c>
      <c r="M14" s="98">
        <v>-564408</v>
      </c>
      <c r="N14" s="99"/>
      <c r="O14" s="99"/>
      <c r="P14" s="99">
        <v>0</v>
      </c>
    </row>
    <row r="15" spans="1:21" ht="15.75" thickBot="1" x14ac:dyDescent="0.25">
      <c r="A15" s="101"/>
      <c r="B15" s="100"/>
      <c r="C15" s="100" t="s">
        <v>700</v>
      </c>
      <c r="D15" s="99"/>
      <c r="E15" s="99"/>
      <c r="F15" s="99"/>
      <c r="G15" s="99"/>
      <c r="H15" s="99"/>
      <c r="I15" s="99"/>
      <c r="J15" s="99"/>
      <c r="K15" s="99"/>
      <c r="L15" s="98">
        <v>509923</v>
      </c>
      <c r="M15" s="98">
        <v>3200</v>
      </c>
      <c r="N15" s="98">
        <v>347775</v>
      </c>
      <c r="O15" s="98">
        <v>14030</v>
      </c>
      <c r="P15" s="98">
        <v>874928</v>
      </c>
    </row>
    <row r="16" spans="1:21" ht="60.75" thickBot="1" x14ac:dyDescent="0.25">
      <c r="A16" s="101"/>
      <c r="B16" s="100" t="s">
        <v>699</v>
      </c>
      <c r="C16" s="100" t="s">
        <v>699</v>
      </c>
      <c r="D16" s="99"/>
      <c r="E16" s="98">
        <v>100000</v>
      </c>
      <c r="F16" s="99"/>
      <c r="G16" s="99"/>
      <c r="H16" s="99"/>
      <c r="I16" s="99"/>
      <c r="J16" s="99"/>
      <c r="K16" s="98">
        <v>100000</v>
      </c>
      <c r="L16" s="99"/>
      <c r="M16" s="98">
        <v>100000</v>
      </c>
      <c r="N16" s="99"/>
      <c r="O16" s="99"/>
      <c r="P16" s="98">
        <v>300000</v>
      </c>
    </row>
    <row r="17" spans="1:17" ht="30.75" thickBot="1" x14ac:dyDescent="0.25">
      <c r="A17" s="97" t="s">
        <v>799</v>
      </c>
      <c r="B17" s="97"/>
      <c r="C17" s="97"/>
      <c r="D17" s="96"/>
      <c r="E17" s="95">
        <v>245889</v>
      </c>
      <c r="F17" s="95">
        <v>52028</v>
      </c>
      <c r="G17" s="95">
        <v>90517</v>
      </c>
      <c r="H17" s="95">
        <v>53510</v>
      </c>
      <c r="I17" s="95">
        <v>171327</v>
      </c>
      <c r="J17" s="96">
        <v>124</v>
      </c>
      <c r="K17" s="95">
        <v>100375</v>
      </c>
      <c r="L17" s="95">
        <v>1074331</v>
      </c>
      <c r="M17" s="95">
        <v>-461208</v>
      </c>
      <c r="N17" s="95">
        <v>347775</v>
      </c>
      <c r="O17" s="95">
        <v>14030</v>
      </c>
      <c r="P17" s="95">
        <v>1688698</v>
      </c>
      <c r="Q17" s="91" t="s">
        <v>706</v>
      </c>
    </row>
    <row r="18" spans="1:17" ht="15.75" thickBot="1" x14ac:dyDescent="0.25">
      <c r="A18" s="101" t="s">
        <v>62</v>
      </c>
      <c r="B18" s="100" t="s">
        <v>703</v>
      </c>
      <c r="C18" s="100" t="s">
        <v>703</v>
      </c>
      <c r="D18" s="99"/>
      <c r="E18" s="99"/>
      <c r="F18" s="99"/>
      <c r="G18" s="98">
        <v>517094</v>
      </c>
      <c r="H18" s="98">
        <v>483588</v>
      </c>
      <c r="I18" s="98">
        <v>287969</v>
      </c>
      <c r="J18" s="99"/>
      <c r="K18" s="98">
        <v>-36041</v>
      </c>
      <c r="L18" s="99"/>
      <c r="M18" s="99"/>
      <c r="N18" s="99"/>
      <c r="O18" s="99"/>
      <c r="P18" s="98">
        <v>1252610</v>
      </c>
    </row>
    <row r="19" spans="1:17" ht="15.75" thickBot="1" x14ac:dyDescent="0.25">
      <c r="A19" s="101"/>
      <c r="B19" s="100" t="s">
        <v>702</v>
      </c>
      <c r="C19" s="100" t="s">
        <v>702</v>
      </c>
      <c r="D19" s="99"/>
      <c r="E19" s="99"/>
      <c r="F19" s="99"/>
      <c r="G19" s="98">
        <v>747000</v>
      </c>
      <c r="H19" s="98">
        <v>747000</v>
      </c>
      <c r="I19" s="98">
        <v>747000</v>
      </c>
      <c r="J19" s="98">
        <v>747000</v>
      </c>
      <c r="K19" s="99"/>
      <c r="L19" s="99"/>
      <c r="M19" s="99"/>
      <c r="N19" s="99"/>
      <c r="O19" s="99"/>
      <c r="P19" s="98">
        <v>2988000</v>
      </c>
    </row>
    <row r="20" spans="1:17" ht="15.75" thickBot="1" x14ac:dyDescent="0.25">
      <c r="A20" s="101"/>
      <c r="B20" s="100" t="s">
        <v>701</v>
      </c>
      <c r="C20" s="100" t="s">
        <v>700</v>
      </c>
      <c r="D20" s="99"/>
      <c r="E20" s="99"/>
      <c r="F20" s="99"/>
      <c r="G20" s="99"/>
      <c r="H20" s="99"/>
      <c r="I20" s="98">
        <v>8061084</v>
      </c>
      <c r="J20" s="99"/>
      <c r="K20" s="98">
        <v>6828350</v>
      </c>
      <c r="L20" s="98">
        <v>14785382</v>
      </c>
      <c r="M20" s="98">
        <v>5642937</v>
      </c>
      <c r="N20" s="98">
        <v>7765079</v>
      </c>
      <c r="O20" s="98">
        <v>138547</v>
      </c>
      <c r="P20" s="98">
        <v>43221378</v>
      </c>
    </row>
    <row r="21" spans="1:17" ht="60.75" thickBot="1" x14ac:dyDescent="0.25">
      <c r="A21" s="101"/>
      <c r="B21" s="100" t="s">
        <v>699</v>
      </c>
      <c r="C21" s="100" t="s">
        <v>699</v>
      </c>
      <c r="D21" s="99"/>
      <c r="E21" s="99"/>
      <c r="F21" s="99"/>
      <c r="G21" s="99"/>
      <c r="H21" s="99"/>
      <c r="I21" s="98">
        <v>100000</v>
      </c>
      <c r="J21" s="99"/>
      <c r="K21" s="99"/>
      <c r="L21" s="99"/>
      <c r="M21" s="99"/>
      <c r="N21" s="99"/>
      <c r="O21" s="99"/>
      <c r="P21" s="98">
        <v>100000</v>
      </c>
    </row>
    <row r="22" spans="1:17" ht="30.75" thickBot="1" x14ac:dyDescent="0.25">
      <c r="A22" s="97" t="s">
        <v>798</v>
      </c>
      <c r="B22" s="97"/>
      <c r="C22" s="97"/>
      <c r="D22" s="96"/>
      <c r="E22" s="96"/>
      <c r="F22" s="96"/>
      <c r="G22" s="95">
        <v>1264094</v>
      </c>
      <c r="H22" s="95">
        <v>1230588</v>
      </c>
      <c r="I22" s="95">
        <v>9196053</v>
      </c>
      <c r="J22" s="95">
        <v>747000</v>
      </c>
      <c r="K22" s="95">
        <v>6792309</v>
      </c>
      <c r="L22" s="95">
        <v>14785382</v>
      </c>
      <c r="M22" s="95">
        <v>5642937</v>
      </c>
      <c r="N22" s="95">
        <v>7765079</v>
      </c>
      <c r="O22" s="95">
        <v>138547</v>
      </c>
      <c r="P22" s="95">
        <v>47561989</v>
      </c>
      <c r="Q22" s="91" t="s">
        <v>617</v>
      </c>
    </row>
    <row r="23" spans="1:17" ht="15.75" thickBot="1" x14ac:dyDescent="0.25">
      <c r="A23" s="101" t="s">
        <v>61</v>
      </c>
      <c r="B23" s="100" t="s">
        <v>665</v>
      </c>
      <c r="C23" s="100" t="s">
        <v>665</v>
      </c>
      <c r="D23" s="99"/>
      <c r="E23" s="99"/>
      <c r="F23" s="99"/>
      <c r="G23" s="99"/>
      <c r="H23" s="99"/>
      <c r="I23" s="99"/>
      <c r="J23" s="99"/>
      <c r="K23" s="99"/>
      <c r="L23" s="98">
        <v>94500</v>
      </c>
      <c r="M23" s="99"/>
      <c r="N23" s="98">
        <v>45000</v>
      </c>
      <c r="O23" s="98">
        <v>45000</v>
      </c>
      <c r="P23" s="98">
        <v>184500</v>
      </c>
    </row>
    <row r="24" spans="1:17" ht="15.75" thickBot="1" x14ac:dyDescent="0.25">
      <c r="A24" s="101"/>
      <c r="B24" s="100" t="s">
        <v>703</v>
      </c>
      <c r="C24" s="100" t="s">
        <v>703</v>
      </c>
      <c r="D24" s="99"/>
      <c r="E24" s="99"/>
      <c r="F24" s="98">
        <v>46582</v>
      </c>
      <c r="G24" s="98">
        <v>16550</v>
      </c>
      <c r="H24" s="99"/>
      <c r="I24" s="98">
        <v>1810</v>
      </c>
      <c r="J24" s="99"/>
      <c r="K24" s="99"/>
      <c r="L24" s="99"/>
      <c r="M24" s="99"/>
      <c r="N24" s="99"/>
      <c r="O24" s="99"/>
      <c r="P24" s="98">
        <v>64942</v>
      </c>
    </row>
    <row r="25" spans="1:17" ht="15.75" thickBot="1" x14ac:dyDescent="0.25">
      <c r="A25" s="101"/>
      <c r="B25" s="100" t="s">
        <v>702</v>
      </c>
      <c r="C25" s="100" t="s">
        <v>702</v>
      </c>
      <c r="D25" s="99"/>
      <c r="E25" s="98">
        <v>15000</v>
      </c>
      <c r="F25" s="98">
        <v>15000</v>
      </c>
      <c r="G25" s="98">
        <v>30000</v>
      </c>
      <c r="H25" s="98">
        <v>19860</v>
      </c>
      <c r="I25" s="99"/>
      <c r="J25" s="99"/>
      <c r="K25" s="99"/>
      <c r="L25" s="99"/>
      <c r="M25" s="99"/>
      <c r="N25" s="99"/>
      <c r="O25" s="99"/>
      <c r="P25" s="98">
        <v>79860</v>
      </c>
    </row>
    <row r="26" spans="1:17" ht="30.75" thickBot="1" x14ac:dyDescent="0.25">
      <c r="A26" s="101"/>
      <c r="B26" s="100" t="s">
        <v>701</v>
      </c>
      <c r="C26" s="100" t="s">
        <v>710</v>
      </c>
      <c r="D26" s="99"/>
      <c r="E26" s="98">
        <v>138552</v>
      </c>
      <c r="F26" s="98">
        <v>63642</v>
      </c>
      <c r="G26" s="98">
        <v>42110</v>
      </c>
      <c r="H26" s="98">
        <v>32097</v>
      </c>
      <c r="I26" s="98">
        <v>116898</v>
      </c>
      <c r="J26" s="98">
        <v>14488</v>
      </c>
      <c r="K26" s="98">
        <v>94809</v>
      </c>
      <c r="L26" s="98">
        <v>12264</v>
      </c>
      <c r="M26" s="98">
        <v>15599</v>
      </c>
      <c r="N26" s="99"/>
      <c r="O26" s="99"/>
      <c r="P26" s="98">
        <v>530459</v>
      </c>
    </row>
    <row r="27" spans="1:17" ht="15.75" thickBot="1" x14ac:dyDescent="0.25">
      <c r="A27" s="101"/>
      <c r="B27" s="100"/>
      <c r="C27" s="100" t="s">
        <v>700</v>
      </c>
      <c r="D27" s="99"/>
      <c r="E27" s="99"/>
      <c r="F27" s="99"/>
      <c r="G27" s="99"/>
      <c r="H27" s="99"/>
      <c r="I27" s="99"/>
      <c r="J27" s="99"/>
      <c r="K27" s="99"/>
      <c r="L27" s="99"/>
      <c r="M27" s="98">
        <v>279115</v>
      </c>
      <c r="N27" s="98">
        <v>761646</v>
      </c>
      <c r="O27" s="99"/>
      <c r="P27" s="98">
        <v>1040761</v>
      </c>
    </row>
    <row r="28" spans="1:17" ht="60.75" thickBot="1" x14ac:dyDescent="0.25">
      <c r="A28" s="101"/>
      <c r="B28" s="100" t="s">
        <v>699</v>
      </c>
      <c r="C28" s="100" t="s">
        <v>699</v>
      </c>
      <c r="D28" s="99"/>
      <c r="E28" s="99"/>
      <c r="F28" s="98">
        <v>100000</v>
      </c>
      <c r="G28" s="99"/>
      <c r="H28" s="99"/>
      <c r="I28" s="99"/>
      <c r="J28" s="99"/>
      <c r="K28" s="99"/>
      <c r="L28" s="99"/>
      <c r="M28" s="98">
        <v>100000</v>
      </c>
      <c r="N28" s="99"/>
      <c r="O28" s="99"/>
      <c r="P28" s="98">
        <v>200000</v>
      </c>
    </row>
    <row r="29" spans="1:17" ht="30.75" thickBot="1" x14ac:dyDescent="0.25">
      <c r="A29" s="97" t="s">
        <v>797</v>
      </c>
      <c r="B29" s="97"/>
      <c r="C29" s="97"/>
      <c r="D29" s="96"/>
      <c r="E29" s="95">
        <v>153552</v>
      </c>
      <c r="F29" s="95">
        <v>225224</v>
      </c>
      <c r="G29" s="95">
        <v>88660</v>
      </c>
      <c r="H29" s="95">
        <v>51957</v>
      </c>
      <c r="I29" s="95">
        <v>118709</v>
      </c>
      <c r="J29" s="95">
        <v>14488</v>
      </c>
      <c r="K29" s="95">
        <v>94809</v>
      </c>
      <c r="L29" s="95">
        <v>106764</v>
      </c>
      <c r="M29" s="95">
        <v>394714</v>
      </c>
      <c r="N29" s="95">
        <v>806646</v>
      </c>
      <c r="O29" s="95">
        <v>45000</v>
      </c>
      <c r="P29" s="95">
        <v>2100523</v>
      </c>
      <c r="Q29" s="91" t="s">
        <v>706</v>
      </c>
    </row>
    <row r="30" spans="1:17" ht="30.75" thickBot="1" x14ac:dyDescent="0.25">
      <c r="A30" s="101" t="s">
        <v>224</v>
      </c>
      <c r="B30" s="100" t="s">
        <v>703</v>
      </c>
      <c r="C30" s="100" t="s">
        <v>703</v>
      </c>
      <c r="D30" s="99"/>
      <c r="E30" s="99"/>
      <c r="F30" s="99"/>
      <c r="G30" s="98">
        <v>93686</v>
      </c>
      <c r="H30" s="98">
        <v>48072</v>
      </c>
      <c r="I30" s="98">
        <v>9282</v>
      </c>
      <c r="J30" s="99"/>
      <c r="K30" s="99">
        <v>0</v>
      </c>
      <c r="L30" s="99"/>
      <c r="M30" s="99"/>
      <c r="N30" s="99"/>
      <c r="O30" s="99"/>
      <c r="P30" s="98">
        <v>151040</v>
      </c>
    </row>
    <row r="31" spans="1:17" ht="15.75" thickBot="1" x14ac:dyDescent="0.25">
      <c r="A31" s="101"/>
      <c r="B31" s="100" t="s">
        <v>702</v>
      </c>
      <c r="C31" s="100" t="s">
        <v>702</v>
      </c>
      <c r="D31" s="99"/>
      <c r="E31" s="98">
        <v>16500</v>
      </c>
      <c r="F31" s="98">
        <v>16500</v>
      </c>
      <c r="G31" s="98">
        <v>33000</v>
      </c>
      <c r="H31" s="98">
        <v>260500</v>
      </c>
      <c r="I31" s="98">
        <v>60880</v>
      </c>
      <c r="J31" s="98">
        <v>132500</v>
      </c>
      <c r="K31" s="98">
        <v>118000</v>
      </c>
      <c r="L31" s="98">
        <v>111500</v>
      </c>
      <c r="M31" s="99"/>
      <c r="N31" s="99"/>
      <c r="O31" s="99"/>
      <c r="P31" s="98">
        <v>749380</v>
      </c>
    </row>
    <row r="32" spans="1:17" ht="30.75" thickBot="1" x14ac:dyDescent="0.25">
      <c r="A32" s="101"/>
      <c r="B32" s="100" t="s">
        <v>701</v>
      </c>
      <c r="C32" s="100" t="s">
        <v>710</v>
      </c>
      <c r="D32" s="99"/>
      <c r="E32" s="98">
        <v>242318</v>
      </c>
      <c r="F32" s="98">
        <v>109270</v>
      </c>
      <c r="G32" s="98">
        <v>104921</v>
      </c>
      <c r="H32" s="98">
        <v>59322</v>
      </c>
      <c r="I32" s="98">
        <v>210866</v>
      </c>
      <c r="J32" s="98">
        <v>185852</v>
      </c>
      <c r="K32" s="98">
        <v>39364</v>
      </c>
      <c r="L32" s="98">
        <v>51400</v>
      </c>
      <c r="M32" s="98">
        <v>4520</v>
      </c>
      <c r="N32" s="99"/>
      <c r="O32" s="99"/>
      <c r="P32" s="98">
        <v>1007832</v>
      </c>
    </row>
    <row r="33" spans="1:17" ht="15.75" thickBot="1" x14ac:dyDescent="0.25">
      <c r="A33" s="101"/>
      <c r="B33" s="100"/>
      <c r="C33" s="100" t="s">
        <v>700</v>
      </c>
      <c r="D33" s="99"/>
      <c r="E33" s="99"/>
      <c r="F33" s="99"/>
      <c r="G33" s="99"/>
      <c r="H33" s="99"/>
      <c r="I33" s="99"/>
      <c r="J33" s="99"/>
      <c r="K33" s="99"/>
      <c r="L33" s="99"/>
      <c r="M33" s="99"/>
      <c r="N33" s="98">
        <v>1643605</v>
      </c>
      <c r="O33" s="99"/>
      <c r="P33" s="98">
        <v>1643605</v>
      </c>
    </row>
    <row r="34" spans="1:17" ht="60.75" thickBot="1" x14ac:dyDescent="0.25">
      <c r="A34" s="101"/>
      <c r="B34" s="100" t="s">
        <v>699</v>
      </c>
      <c r="C34" s="100" t="s">
        <v>699</v>
      </c>
      <c r="D34" s="99"/>
      <c r="E34" s="99"/>
      <c r="F34" s="98">
        <v>100000</v>
      </c>
      <c r="G34" s="99"/>
      <c r="H34" s="99"/>
      <c r="I34" s="99"/>
      <c r="J34" s="99"/>
      <c r="K34" s="99"/>
      <c r="L34" s="99"/>
      <c r="M34" s="99"/>
      <c r="N34" s="99"/>
      <c r="O34" s="99"/>
      <c r="P34" s="98">
        <v>100000</v>
      </c>
    </row>
    <row r="35" spans="1:17" ht="30.75" thickBot="1" x14ac:dyDescent="0.25">
      <c r="A35" s="97" t="s">
        <v>796</v>
      </c>
      <c r="B35" s="97"/>
      <c r="C35" s="97"/>
      <c r="D35" s="96"/>
      <c r="E35" s="95">
        <v>258818</v>
      </c>
      <c r="F35" s="95">
        <v>225770</v>
      </c>
      <c r="G35" s="95">
        <v>231607</v>
      </c>
      <c r="H35" s="95">
        <v>367894</v>
      </c>
      <c r="I35" s="95">
        <v>281028</v>
      </c>
      <c r="J35" s="95">
        <v>318352</v>
      </c>
      <c r="K35" s="95">
        <v>157364</v>
      </c>
      <c r="L35" s="95">
        <v>162900</v>
      </c>
      <c r="M35" s="95">
        <v>4520</v>
      </c>
      <c r="N35" s="95">
        <v>1643605</v>
      </c>
      <c r="O35" s="96"/>
      <c r="P35" s="95">
        <v>3651857</v>
      </c>
      <c r="Q35" s="91" t="s">
        <v>706</v>
      </c>
    </row>
    <row r="36" spans="1:17" ht="30.75" thickBot="1" x14ac:dyDescent="0.25">
      <c r="A36" s="101" t="s">
        <v>105</v>
      </c>
      <c r="B36" s="100" t="s">
        <v>665</v>
      </c>
      <c r="C36" s="100" t="s">
        <v>665</v>
      </c>
      <c r="D36" s="99"/>
      <c r="E36" s="99"/>
      <c r="F36" s="99"/>
      <c r="G36" s="99"/>
      <c r="H36" s="99"/>
      <c r="I36" s="99"/>
      <c r="J36" s="99"/>
      <c r="K36" s="99"/>
      <c r="L36" s="99"/>
      <c r="M36" s="99"/>
      <c r="N36" s="98">
        <v>7243500</v>
      </c>
      <c r="O36" s="99"/>
      <c r="P36" s="98">
        <v>7243500</v>
      </c>
    </row>
    <row r="37" spans="1:17" ht="15.75" thickBot="1" x14ac:dyDescent="0.25">
      <c r="A37" s="101"/>
      <c r="B37" s="100" t="s">
        <v>703</v>
      </c>
      <c r="C37" s="100" t="s">
        <v>703</v>
      </c>
      <c r="D37" s="99"/>
      <c r="E37" s="99"/>
      <c r="F37" s="99"/>
      <c r="G37" s="98">
        <v>2957199</v>
      </c>
      <c r="H37" s="98">
        <v>2626625</v>
      </c>
      <c r="I37" s="98">
        <v>-7428</v>
      </c>
      <c r="J37" s="98">
        <v>1164600</v>
      </c>
      <c r="K37" s="98">
        <v>-596581</v>
      </c>
      <c r="L37" s="99"/>
      <c r="M37" s="99"/>
      <c r="N37" s="99"/>
      <c r="O37" s="99"/>
      <c r="P37" s="98">
        <v>6144414</v>
      </c>
    </row>
    <row r="38" spans="1:17" ht="15.75" thickBot="1" x14ac:dyDescent="0.25">
      <c r="A38" s="101"/>
      <c r="B38" s="100" t="s">
        <v>702</v>
      </c>
      <c r="C38" s="100" t="s">
        <v>702</v>
      </c>
      <c r="D38" s="99"/>
      <c r="E38" s="98">
        <v>1785000</v>
      </c>
      <c r="F38" s="99"/>
      <c r="G38" s="98">
        <v>1783000</v>
      </c>
      <c r="H38" s="98">
        <v>3568000</v>
      </c>
      <c r="I38" s="98">
        <v>12773340</v>
      </c>
      <c r="J38" s="98">
        <v>685360</v>
      </c>
      <c r="K38" s="98">
        <v>1304000</v>
      </c>
      <c r="L38" s="99"/>
      <c r="M38" s="99"/>
      <c r="N38" s="98">
        <v>1441500</v>
      </c>
      <c r="O38" s="99"/>
      <c r="P38" s="98">
        <v>23340200</v>
      </c>
    </row>
    <row r="39" spans="1:17" ht="30.75" thickBot="1" x14ac:dyDescent="0.25">
      <c r="A39" s="101"/>
      <c r="B39" s="100" t="s">
        <v>701</v>
      </c>
      <c r="C39" s="100" t="s">
        <v>710</v>
      </c>
      <c r="D39" s="99"/>
      <c r="E39" s="98">
        <v>620503</v>
      </c>
      <c r="F39" s="99"/>
      <c r="G39" s="98">
        <v>2261732</v>
      </c>
      <c r="H39" s="98">
        <v>2668361</v>
      </c>
      <c r="I39" s="98">
        <v>5237253</v>
      </c>
      <c r="J39" s="98">
        <v>1668003</v>
      </c>
      <c r="K39" s="98">
        <v>7578903</v>
      </c>
      <c r="L39" s="98">
        <v>500199</v>
      </c>
      <c r="M39" s="98">
        <v>-310489</v>
      </c>
      <c r="N39" s="99"/>
      <c r="O39" s="99"/>
      <c r="P39" s="98">
        <v>20224465</v>
      </c>
    </row>
    <row r="40" spans="1:17" ht="15.75" thickBot="1" x14ac:dyDescent="0.25">
      <c r="A40" s="101"/>
      <c r="B40" s="100"/>
      <c r="C40" s="100" t="s">
        <v>700</v>
      </c>
      <c r="D40" s="99"/>
      <c r="E40" s="99"/>
      <c r="F40" s="99"/>
      <c r="G40" s="99"/>
      <c r="H40" s="99"/>
      <c r="I40" s="99"/>
      <c r="J40" s="99"/>
      <c r="K40" s="99"/>
      <c r="L40" s="98">
        <v>25935168</v>
      </c>
      <c r="M40" s="98">
        <v>27101071</v>
      </c>
      <c r="N40" s="98">
        <v>43316720</v>
      </c>
      <c r="O40" s="99"/>
      <c r="P40" s="98">
        <v>96352959</v>
      </c>
    </row>
    <row r="41" spans="1:17" ht="60.75" thickBot="1" x14ac:dyDescent="0.25">
      <c r="A41" s="101"/>
      <c r="B41" s="100" t="s">
        <v>699</v>
      </c>
      <c r="C41" s="100" t="s">
        <v>699</v>
      </c>
      <c r="D41" s="99"/>
      <c r="E41" s="99"/>
      <c r="F41" s="98">
        <v>100000</v>
      </c>
      <c r="G41" s="99"/>
      <c r="H41" s="99"/>
      <c r="I41" s="99"/>
      <c r="J41" s="99"/>
      <c r="K41" s="99"/>
      <c r="L41" s="98">
        <v>1287000</v>
      </c>
      <c r="M41" s="99"/>
      <c r="N41" s="99"/>
      <c r="O41" s="99"/>
      <c r="P41" s="98">
        <v>1387000</v>
      </c>
    </row>
    <row r="42" spans="1:17" ht="30.75" thickBot="1" x14ac:dyDescent="0.25">
      <c r="A42" s="97" t="s">
        <v>795</v>
      </c>
      <c r="B42" s="97"/>
      <c r="C42" s="97"/>
      <c r="D42" s="96"/>
      <c r="E42" s="95">
        <v>2405503</v>
      </c>
      <c r="F42" s="95">
        <v>100000</v>
      </c>
      <c r="G42" s="95">
        <v>7001931</v>
      </c>
      <c r="H42" s="95">
        <v>8862986</v>
      </c>
      <c r="I42" s="95">
        <v>18003165</v>
      </c>
      <c r="J42" s="95">
        <v>3517963</v>
      </c>
      <c r="K42" s="95">
        <v>8286321</v>
      </c>
      <c r="L42" s="95">
        <v>27722367</v>
      </c>
      <c r="M42" s="95">
        <v>26790582</v>
      </c>
      <c r="N42" s="95">
        <v>52001720</v>
      </c>
      <c r="O42" s="96"/>
      <c r="P42" s="95">
        <v>154692539</v>
      </c>
      <c r="Q42" s="91" t="s">
        <v>617</v>
      </c>
    </row>
    <row r="43" spans="1:17" ht="15.75" thickBot="1" x14ac:dyDescent="0.25">
      <c r="A43" s="101" t="s">
        <v>104</v>
      </c>
      <c r="B43" s="100" t="s">
        <v>703</v>
      </c>
      <c r="C43" s="100" t="s">
        <v>703</v>
      </c>
      <c r="D43" s="99"/>
      <c r="E43" s="99"/>
      <c r="F43" s="99"/>
      <c r="G43" s="99"/>
      <c r="H43" s="98">
        <v>162300</v>
      </c>
      <c r="I43" s="98">
        <v>96454</v>
      </c>
      <c r="J43" s="98">
        <v>131396</v>
      </c>
      <c r="K43" s="98">
        <v>-31487</v>
      </c>
      <c r="L43" s="99"/>
      <c r="M43" s="99"/>
      <c r="N43" s="99"/>
      <c r="O43" s="99"/>
      <c r="P43" s="98">
        <v>358664</v>
      </c>
    </row>
    <row r="44" spans="1:17" ht="15.75" thickBot="1" x14ac:dyDescent="0.25">
      <c r="A44" s="101"/>
      <c r="B44" s="100" t="s">
        <v>702</v>
      </c>
      <c r="C44" s="100" t="s">
        <v>702</v>
      </c>
      <c r="D44" s="99"/>
      <c r="E44" s="99"/>
      <c r="F44" s="99"/>
      <c r="G44" s="99"/>
      <c r="H44" s="99"/>
      <c r="I44" s="99"/>
      <c r="J44" s="99"/>
      <c r="K44" s="98">
        <v>91250</v>
      </c>
      <c r="L44" s="98">
        <v>91250</v>
      </c>
      <c r="M44" s="99"/>
      <c r="N44" s="99"/>
      <c r="O44" s="99"/>
      <c r="P44" s="98">
        <v>182500</v>
      </c>
    </row>
    <row r="45" spans="1:17" ht="30.75" thickBot="1" x14ac:dyDescent="0.25">
      <c r="A45" s="101"/>
      <c r="B45" s="100" t="s">
        <v>701</v>
      </c>
      <c r="C45" s="100" t="s">
        <v>710</v>
      </c>
      <c r="D45" s="99"/>
      <c r="E45" s="98">
        <v>313229</v>
      </c>
      <c r="F45" s="98">
        <v>320322</v>
      </c>
      <c r="G45" s="98">
        <v>227190</v>
      </c>
      <c r="H45" s="98">
        <v>99895</v>
      </c>
      <c r="I45" s="99"/>
      <c r="J45" s="99"/>
      <c r="K45" s="99"/>
      <c r="L45" s="99"/>
      <c r="M45" s="99"/>
      <c r="N45" s="99"/>
      <c r="O45" s="99"/>
      <c r="P45" s="98">
        <v>960636</v>
      </c>
    </row>
    <row r="46" spans="1:17" ht="15.75" thickBot="1" x14ac:dyDescent="0.25">
      <c r="A46" s="101"/>
      <c r="B46" s="100"/>
      <c r="C46" s="100" t="s">
        <v>700</v>
      </c>
      <c r="D46" s="99"/>
      <c r="E46" s="99"/>
      <c r="F46" s="99"/>
      <c r="G46" s="99"/>
      <c r="H46" s="98">
        <v>1574546</v>
      </c>
      <c r="I46" s="98">
        <v>4157520</v>
      </c>
      <c r="J46" s="98">
        <v>5249827</v>
      </c>
      <c r="K46" s="98">
        <v>4387764</v>
      </c>
      <c r="L46" s="98">
        <v>4030210</v>
      </c>
      <c r="M46" s="98">
        <v>3667451</v>
      </c>
      <c r="N46" s="98">
        <v>4420233</v>
      </c>
      <c r="O46" s="99"/>
      <c r="P46" s="98">
        <v>27487552</v>
      </c>
    </row>
    <row r="47" spans="1:17" ht="30.75" thickBot="1" x14ac:dyDescent="0.25">
      <c r="A47" s="101"/>
      <c r="B47" s="100"/>
      <c r="C47" s="100" t="s">
        <v>716</v>
      </c>
      <c r="D47" s="99"/>
      <c r="E47" s="98">
        <v>186308</v>
      </c>
      <c r="F47" s="99"/>
      <c r="G47" s="98">
        <v>266607</v>
      </c>
      <c r="H47" s="98">
        <v>151278</v>
      </c>
      <c r="I47" s="98">
        <v>782298</v>
      </c>
      <c r="J47" s="98">
        <v>229706</v>
      </c>
      <c r="K47" s="98">
        <v>148605</v>
      </c>
      <c r="L47" s="98">
        <v>352397</v>
      </c>
      <c r="M47" s="98">
        <v>488753</v>
      </c>
      <c r="N47" s="98">
        <v>727181</v>
      </c>
      <c r="O47" s="98">
        <v>11661</v>
      </c>
      <c r="P47" s="98">
        <v>3344793</v>
      </c>
    </row>
    <row r="48" spans="1:17" ht="60.75" thickBot="1" x14ac:dyDescent="0.25">
      <c r="A48" s="101"/>
      <c r="B48" s="100" t="s">
        <v>699</v>
      </c>
      <c r="C48" s="100" t="s">
        <v>699</v>
      </c>
      <c r="D48" s="99"/>
      <c r="E48" s="99"/>
      <c r="F48" s="98">
        <v>100000</v>
      </c>
      <c r="G48" s="99"/>
      <c r="H48" s="99"/>
      <c r="I48" s="99"/>
      <c r="J48" s="99"/>
      <c r="K48" s="99"/>
      <c r="L48" s="99"/>
      <c r="M48" s="99"/>
      <c r="N48" s="99"/>
      <c r="O48" s="99"/>
      <c r="P48" s="98">
        <v>100000</v>
      </c>
    </row>
    <row r="49" spans="1:17" ht="30.75" thickBot="1" x14ac:dyDescent="0.25">
      <c r="A49" s="97" t="s">
        <v>794</v>
      </c>
      <c r="B49" s="97"/>
      <c r="C49" s="97"/>
      <c r="D49" s="96"/>
      <c r="E49" s="95">
        <v>499537</v>
      </c>
      <c r="F49" s="95">
        <v>420322</v>
      </c>
      <c r="G49" s="95">
        <v>493797</v>
      </c>
      <c r="H49" s="95">
        <v>1988020</v>
      </c>
      <c r="I49" s="95">
        <v>5036272</v>
      </c>
      <c r="J49" s="95">
        <v>5610929</v>
      </c>
      <c r="K49" s="95">
        <v>4596132</v>
      </c>
      <c r="L49" s="95">
        <v>4473857</v>
      </c>
      <c r="M49" s="95">
        <v>4156204</v>
      </c>
      <c r="N49" s="95">
        <v>5147414</v>
      </c>
      <c r="O49" s="95">
        <v>11661</v>
      </c>
      <c r="P49" s="95">
        <v>32434145</v>
      </c>
      <c r="Q49" s="91" t="s">
        <v>617</v>
      </c>
    </row>
    <row r="50" spans="1:17" ht="15.75" thickBot="1" x14ac:dyDescent="0.25">
      <c r="A50" s="101" t="s">
        <v>59</v>
      </c>
      <c r="B50" s="100" t="s">
        <v>665</v>
      </c>
      <c r="C50" s="100" t="s">
        <v>665</v>
      </c>
      <c r="D50" s="99"/>
      <c r="E50" s="99"/>
      <c r="F50" s="99"/>
      <c r="G50" s="99"/>
      <c r="H50" s="99"/>
      <c r="I50" s="99"/>
      <c r="J50" s="99"/>
      <c r="K50" s="99"/>
      <c r="L50" s="98">
        <v>37500</v>
      </c>
      <c r="M50" s="99"/>
      <c r="N50" s="98">
        <v>38500</v>
      </c>
      <c r="O50" s="99"/>
      <c r="P50" s="98">
        <v>76000</v>
      </c>
    </row>
    <row r="51" spans="1:17" ht="15.75" thickBot="1" x14ac:dyDescent="0.25">
      <c r="A51" s="101"/>
      <c r="B51" s="100" t="s">
        <v>703</v>
      </c>
      <c r="C51" s="100" t="s">
        <v>703</v>
      </c>
      <c r="D51" s="99"/>
      <c r="E51" s="99"/>
      <c r="F51" s="99"/>
      <c r="G51" s="98">
        <v>19507</v>
      </c>
      <c r="H51" s="99"/>
      <c r="I51" s="98">
        <v>3440</v>
      </c>
      <c r="J51" s="98">
        <v>8794</v>
      </c>
      <c r="K51" s="99"/>
      <c r="L51" s="99"/>
      <c r="M51" s="99"/>
      <c r="N51" s="99"/>
      <c r="O51" s="99"/>
      <c r="P51" s="98">
        <v>31741</v>
      </c>
    </row>
    <row r="52" spans="1:17" ht="15.75" thickBot="1" x14ac:dyDescent="0.25">
      <c r="A52" s="101"/>
      <c r="B52" s="100" t="s">
        <v>701</v>
      </c>
      <c r="C52" s="100" t="s">
        <v>700</v>
      </c>
      <c r="D52" s="99"/>
      <c r="E52" s="99"/>
      <c r="F52" s="99"/>
      <c r="G52" s="99"/>
      <c r="H52" s="99"/>
      <c r="I52" s="99"/>
      <c r="J52" s="99"/>
      <c r="K52" s="99"/>
      <c r="L52" s="99"/>
      <c r="M52" s="98">
        <v>115878</v>
      </c>
      <c r="N52" s="99"/>
      <c r="O52" s="99"/>
      <c r="P52" s="98">
        <v>115878</v>
      </c>
    </row>
    <row r="53" spans="1:17" ht="45.75" thickBot="1" x14ac:dyDescent="0.25">
      <c r="A53" s="101"/>
      <c r="B53" s="100"/>
      <c r="C53" s="100" t="s">
        <v>720</v>
      </c>
      <c r="D53" s="99"/>
      <c r="E53" s="99"/>
      <c r="F53" s="98">
        <v>61692</v>
      </c>
      <c r="G53" s="98">
        <v>80428</v>
      </c>
      <c r="H53" s="99"/>
      <c r="I53" s="98">
        <v>172886</v>
      </c>
      <c r="J53" s="99">
        <v>-129</v>
      </c>
      <c r="K53" s="98">
        <v>200123</v>
      </c>
      <c r="L53" s="98">
        <v>3272</v>
      </c>
      <c r="M53" s="98">
        <v>87476</v>
      </c>
      <c r="N53" s="98">
        <v>2469</v>
      </c>
      <c r="O53" s="99"/>
      <c r="P53" s="98">
        <v>608218</v>
      </c>
    </row>
    <row r="54" spans="1:17" ht="60.75" thickBot="1" x14ac:dyDescent="0.25">
      <c r="A54" s="101"/>
      <c r="B54" s="100" t="s">
        <v>699</v>
      </c>
      <c r="C54" s="100" t="s">
        <v>699</v>
      </c>
      <c r="D54" s="99"/>
      <c r="E54" s="99"/>
      <c r="F54" s="99"/>
      <c r="G54" s="99"/>
      <c r="H54" s="98">
        <v>100000</v>
      </c>
      <c r="I54" s="99"/>
      <c r="J54" s="99"/>
      <c r="K54" s="99"/>
      <c r="L54" s="99"/>
      <c r="M54" s="98">
        <v>100000</v>
      </c>
      <c r="N54" s="99"/>
      <c r="O54" s="99"/>
      <c r="P54" s="98">
        <v>200000</v>
      </c>
    </row>
    <row r="55" spans="1:17" ht="30.75" thickBot="1" x14ac:dyDescent="0.25">
      <c r="A55" s="97" t="s">
        <v>793</v>
      </c>
      <c r="B55" s="97"/>
      <c r="C55" s="97"/>
      <c r="D55" s="96"/>
      <c r="E55" s="96"/>
      <c r="F55" s="95">
        <v>61692</v>
      </c>
      <c r="G55" s="95">
        <v>99935</v>
      </c>
      <c r="H55" s="95">
        <v>100000</v>
      </c>
      <c r="I55" s="95">
        <v>176326</v>
      </c>
      <c r="J55" s="95">
        <v>8665</v>
      </c>
      <c r="K55" s="95">
        <v>200123</v>
      </c>
      <c r="L55" s="95">
        <v>40772</v>
      </c>
      <c r="M55" s="95">
        <v>303354</v>
      </c>
      <c r="N55" s="95">
        <v>40969</v>
      </c>
      <c r="O55" s="96"/>
      <c r="P55" s="95">
        <v>1031836</v>
      </c>
      <c r="Q55" s="91" t="s">
        <v>706</v>
      </c>
    </row>
    <row r="56" spans="1:17" ht="15.75" thickBot="1" x14ac:dyDescent="0.25">
      <c r="A56" s="101" t="s">
        <v>58</v>
      </c>
      <c r="B56" s="100" t="s">
        <v>665</v>
      </c>
      <c r="C56" s="100" t="s">
        <v>665</v>
      </c>
      <c r="D56" s="99"/>
      <c r="E56" s="99"/>
      <c r="F56" s="99"/>
      <c r="G56" s="99"/>
      <c r="H56" s="99"/>
      <c r="I56" s="99"/>
      <c r="J56" s="99"/>
      <c r="K56" s="99"/>
      <c r="L56" s="98">
        <v>697000</v>
      </c>
      <c r="M56" s="99"/>
      <c r="N56" s="98">
        <v>349000</v>
      </c>
      <c r="O56" s="99"/>
      <c r="P56" s="98">
        <v>1046000</v>
      </c>
    </row>
    <row r="57" spans="1:17" ht="15.75" thickBot="1" x14ac:dyDescent="0.25">
      <c r="A57" s="101"/>
      <c r="B57" s="100" t="s">
        <v>703</v>
      </c>
      <c r="C57" s="100" t="s">
        <v>703</v>
      </c>
      <c r="D57" s="99"/>
      <c r="E57" s="99"/>
      <c r="F57" s="99"/>
      <c r="G57" s="99"/>
      <c r="H57" s="98">
        <v>238500</v>
      </c>
      <c r="I57" s="98">
        <v>277500</v>
      </c>
      <c r="J57" s="98">
        <v>85500</v>
      </c>
      <c r="K57" s="99"/>
      <c r="L57" s="99"/>
      <c r="M57" s="98">
        <v>272000</v>
      </c>
      <c r="N57" s="99"/>
      <c r="O57" s="99"/>
      <c r="P57" s="98">
        <v>873500</v>
      </c>
    </row>
    <row r="58" spans="1:17" ht="15.75" thickBot="1" x14ac:dyDescent="0.25">
      <c r="A58" s="101"/>
      <c r="B58" s="100" t="s">
        <v>702</v>
      </c>
      <c r="C58" s="100" t="s">
        <v>702</v>
      </c>
      <c r="D58" s="99"/>
      <c r="E58" s="99"/>
      <c r="F58" s="99"/>
      <c r="G58" s="99"/>
      <c r="H58" s="99"/>
      <c r="I58" s="99"/>
      <c r="J58" s="99"/>
      <c r="K58" s="98">
        <v>71875</v>
      </c>
      <c r="L58" s="98">
        <v>71875</v>
      </c>
      <c r="M58" s="99"/>
      <c r="N58" s="98">
        <v>143750</v>
      </c>
      <c r="O58" s="99"/>
      <c r="P58" s="98">
        <v>287500</v>
      </c>
    </row>
    <row r="59" spans="1:17" ht="30.75" thickBot="1" x14ac:dyDescent="0.25">
      <c r="A59" s="101"/>
      <c r="B59" s="100" t="s">
        <v>701</v>
      </c>
      <c r="C59" s="100" t="s">
        <v>742</v>
      </c>
      <c r="D59" s="99"/>
      <c r="E59" s="99"/>
      <c r="F59" s="99"/>
      <c r="G59" s="99"/>
      <c r="H59" s="99"/>
      <c r="I59" s="99"/>
      <c r="J59" s="99"/>
      <c r="K59" s="99"/>
      <c r="L59" s="98">
        <v>1753183</v>
      </c>
      <c r="M59" s="98">
        <v>3262000</v>
      </c>
      <c r="N59" s="98">
        <v>2814500</v>
      </c>
      <c r="O59" s="99"/>
      <c r="P59" s="98">
        <v>7829683</v>
      </c>
    </row>
    <row r="60" spans="1:17" ht="60.75" thickBot="1" x14ac:dyDescent="0.25">
      <c r="A60" s="101"/>
      <c r="B60" s="100" t="s">
        <v>699</v>
      </c>
      <c r="C60" s="100" t="s">
        <v>699</v>
      </c>
      <c r="D60" s="99"/>
      <c r="E60" s="99"/>
      <c r="F60" s="99"/>
      <c r="G60" s="99"/>
      <c r="H60" s="99"/>
      <c r="I60" s="99"/>
      <c r="J60" s="99"/>
      <c r="K60" s="99"/>
      <c r="L60" s="98">
        <v>100000</v>
      </c>
      <c r="M60" s="99"/>
      <c r="N60" s="99"/>
      <c r="O60" s="99"/>
      <c r="P60" s="98">
        <v>100000</v>
      </c>
    </row>
    <row r="61" spans="1:17" ht="30.75" thickBot="1" x14ac:dyDescent="0.25">
      <c r="A61" s="97" t="s">
        <v>792</v>
      </c>
      <c r="B61" s="97"/>
      <c r="C61" s="97"/>
      <c r="D61" s="96"/>
      <c r="E61" s="96"/>
      <c r="F61" s="96"/>
      <c r="G61" s="96"/>
      <c r="H61" s="95">
        <v>238500</v>
      </c>
      <c r="I61" s="95">
        <v>277500</v>
      </c>
      <c r="J61" s="95">
        <v>85500</v>
      </c>
      <c r="K61" s="95">
        <v>71875</v>
      </c>
      <c r="L61" s="95">
        <v>2622058</v>
      </c>
      <c r="M61" s="95">
        <v>3534000</v>
      </c>
      <c r="N61" s="95">
        <v>3307250</v>
      </c>
      <c r="O61" s="96"/>
      <c r="P61" s="95">
        <v>10136683</v>
      </c>
      <c r="Q61" s="91" t="s">
        <v>706</v>
      </c>
    </row>
    <row r="62" spans="1:17" ht="30.75" thickBot="1" x14ac:dyDescent="0.25">
      <c r="A62" s="101" t="s">
        <v>791</v>
      </c>
      <c r="B62" s="100" t="s">
        <v>703</v>
      </c>
      <c r="C62" s="100" t="s">
        <v>703</v>
      </c>
      <c r="D62" s="99"/>
      <c r="E62" s="99"/>
      <c r="F62" s="99"/>
      <c r="G62" s="99"/>
      <c r="H62" s="99"/>
      <c r="I62" s="98">
        <v>19265</v>
      </c>
      <c r="J62" s="98">
        <v>20719</v>
      </c>
      <c r="K62" s="99">
        <v>-556</v>
      </c>
      <c r="L62" s="98">
        <v>14780</v>
      </c>
      <c r="M62" s="98">
        <v>-1078</v>
      </c>
      <c r="N62" s="99"/>
      <c r="O62" s="99"/>
      <c r="P62" s="98">
        <v>53130</v>
      </c>
    </row>
    <row r="63" spans="1:17" ht="30.75" thickBot="1" x14ac:dyDescent="0.25">
      <c r="A63" s="101"/>
      <c r="B63" s="100" t="s">
        <v>701</v>
      </c>
      <c r="C63" s="100" t="s">
        <v>710</v>
      </c>
      <c r="D63" s="99"/>
      <c r="E63" s="99"/>
      <c r="F63" s="98">
        <v>112700</v>
      </c>
      <c r="G63" s="99"/>
      <c r="H63" s="98">
        <v>26152</v>
      </c>
      <c r="I63" s="98">
        <v>26807</v>
      </c>
      <c r="J63" s="98">
        <v>57379</v>
      </c>
      <c r="K63" s="98">
        <v>1281</v>
      </c>
      <c r="L63" s="98">
        <v>34720</v>
      </c>
      <c r="M63" s="98">
        <v>4283</v>
      </c>
      <c r="N63" s="99">
        <v>-644</v>
      </c>
      <c r="O63" s="99"/>
      <c r="P63" s="98">
        <v>262679</v>
      </c>
    </row>
    <row r="64" spans="1:17" ht="30.75" thickBot="1" x14ac:dyDescent="0.25">
      <c r="A64" s="101"/>
      <c r="B64" s="100"/>
      <c r="C64" s="100" t="s">
        <v>772</v>
      </c>
      <c r="D64" s="99"/>
      <c r="E64" s="99"/>
      <c r="F64" s="99"/>
      <c r="G64" s="99"/>
      <c r="H64" s="99"/>
      <c r="I64" s="99"/>
      <c r="J64" s="99"/>
      <c r="K64" s="98">
        <v>406125</v>
      </c>
      <c r="L64" s="98">
        <v>712408</v>
      </c>
      <c r="M64" s="98">
        <v>6154</v>
      </c>
      <c r="N64" s="98">
        <v>604499</v>
      </c>
      <c r="O64" s="99"/>
      <c r="P64" s="98">
        <v>1729186</v>
      </c>
    </row>
    <row r="65" spans="1:17" ht="60.75" thickBot="1" x14ac:dyDescent="0.25">
      <c r="A65" s="101"/>
      <c r="B65" s="100" t="s">
        <v>699</v>
      </c>
      <c r="C65" s="100" t="s">
        <v>699</v>
      </c>
      <c r="D65" s="99"/>
      <c r="E65" s="99"/>
      <c r="F65" s="99"/>
      <c r="G65" s="98">
        <v>100000</v>
      </c>
      <c r="H65" s="99"/>
      <c r="I65" s="99"/>
      <c r="J65" s="99"/>
      <c r="K65" s="99"/>
      <c r="L65" s="99"/>
      <c r="M65" s="99"/>
      <c r="N65" s="99"/>
      <c r="O65" s="99"/>
      <c r="P65" s="98">
        <v>100000</v>
      </c>
    </row>
    <row r="66" spans="1:17" ht="45.75" thickBot="1" x14ac:dyDescent="0.25">
      <c r="A66" s="97" t="s">
        <v>790</v>
      </c>
      <c r="B66" s="97"/>
      <c r="C66" s="97"/>
      <c r="D66" s="96"/>
      <c r="E66" s="96"/>
      <c r="F66" s="95">
        <v>112700</v>
      </c>
      <c r="G66" s="95">
        <v>100000</v>
      </c>
      <c r="H66" s="95">
        <v>26152</v>
      </c>
      <c r="I66" s="95">
        <v>46072</v>
      </c>
      <c r="J66" s="95">
        <v>78098</v>
      </c>
      <c r="K66" s="95">
        <v>406850</v>
      </c>
      <c r="L66" s="95">
        <v>761908</v>
      </c>
      <c r="M66" s="95">
        <v>9360</v>
      </c>
      <c r="N66" s="95">
        <v>603855</v>
      </c>
      <c r="O66" s="96"/>
      <c r="P66" s="95">
        <v>2144996</v>
      </c>
      <c r="Q66" s="91" t="s">
        <v>706</v>
      </c>
    </row>
    <row r="67" spans="1:17" ht="30.75" thickBot="1" x14ac:dyDescent="0.25">
      <c r="A67" s="101" t="s">
        <v>103</v>
      </c>
      <c r="B67" s="100" t="s">
        <v>665</v>
      </c>
      <c r="C67" s="100" t="s">
        <v>665</v>
      </c>
      <c r="D67" s="99"/>
      <c r="E67" s="99"/>
      <c r="F67" s="99"/>
      <c r="G67" s="99"/>
      <c r="H67" s="99"/>
      <c r="I67" s="99"/>
      <c r="J67" s="99"/>
      <c r="K67" s="99"/>
      <c r="L67" s="98">
        <v>3074000</v>
      </c>
      <c r="M67" s="99"/>
      <c r="N67" s="98">
        <v>619500</v>
      </c>
      <c r="O67" s="98">
        <v>619500</v>
      </c>
      <c r="P67" s="98">
        <v>4313000</v>
      </c>
    </row>
    <row r="68" spans="1:17" ht="15.75" thickBot="1" x14ac:dyDescent="0.25">
      <c r="A68" s="101"/>
      <c r="B68" s="100" t="s">
        <v>703</v>
      </c>
      <c r="C68" s="100" t="s">
        <v>703</v>
      </c>
      <c r="D68" s="99"/>
      <c r="E68" s="99"/>
      <c r="F68" s="98">
        <v>312548</v>
      </c>
      <c r="G68" s="98">
        <v>148091</v>
      </c>
      <c r="H68" s="98">
        <v>329871</v>
      </c>
      <c r="I68" s="98">
        <v>142986</v>
      </c>
      <c r="J68" s="99"/>
      <c r="K68" s="98">
        <v>-1937</v>
      </c>
      <c r="L68" s="99"/>
      <c r="M68" s="99"/>
      <c r="N68" s="99"/>
      <c r="O68" s="99"/>
      <c r="P68" s="98">
        <v>931560</v>
      </c>
    </row>
    <row r="69" spans="1:17" ht="15.75" thickBot="1" x14ac:dyDescent="0.25">
      <c r="A69" s="101"/>
      <c r="B69" s="100" t="s">
        <v>702</v>
      </c>
      <c r="C69" s="100" t="s">
        <v>702</v>
      </c>
      <c r="D69" s="99"/>
      <c r="E69" s="98">
        <v>437000</v>
      </c>
      <c r="F69" s="98">
        <v>437000</v>
      </c>
      <c r="G69" s="98">
        <v>437000</v>
      </c>
      <c r="H69" s="98">
        <v>437000</v>
      </c>
      <c r="I69" s="98">
        <v>1822140</v>
      </c>
      <c r="J69" s="98">
        <v>881500</v>
      </c>
      <c r="K69" s="98">
        <v>1312500</v>
      </c>
      <c r="L69" s="98">
        <v>2621300</v>
      </c>
      <c r="M69" s="99"/>
      <c r="N69" s="99"/>
      <c r="O69" s="99"/>
      <c r="P69" s="98">
        <v>8385440</v>
      </c>
    </row>
    <row r="70" spans="1:17" ht="15.75" thickBot="1" x14ac:dyDescent="0.25">
      <c r="A70" s="101"/>
      <c r="B70" s="100" t="s">
        <v>701</v>
      </c>
      <c r="C70" s="100" t="s">
        <v>700</v>
      </c>
      <c r="D70" s="99"/>
      <c r="E70" s="99"/>
      <c r="F70" s="99"/>
      <c r="G70" s="99"/>
      <c r="H70" s="99"/>
      <c r="I70" s="98">
        <v>9111234</v>
      </c>
      <c r="J70" s="98">
        <v>3974801</v>
      </c>
      <c r="K70" s="98">
        <v>9361092</v>
      </c>
      <c r="L70" s="98">
        <v>7164510</v>
      </c>
      <c r="M70" s="98">
        <v>7845127</v>
      </c>
      <c r="N70" s="98">
        <v>5150957</v>
      </c>
      <c r="O70" s="98">
        <v>71311</v>
      </c>
      <c r="P70" s="98">
        <v>42679032</v>
      </c>
    </row>
    <row r="71" spans="1:17" ht="60.75" thickBot="1" x14ac:dyDescent="0.25">
      <c r="A71" s="101"/>
      <c r="B71" s="100" t="s">
        <v>699</v>
      </c>
      <c r="C71" s="100" t="s">
        <v>699</v>
      </c>
      <c r="D71" s="99"/>
      <c r="E71" s="99"/>
      <c r="F71" s="99"/>
      <c r="G71" s="99"/>
      <c r="H71" s="99"/>
      <c r="I71" s="98">
        <v>100000</v>
      </c>
      <c r="J71" s="99"/>
      <c r="K71" s="99"/>
      <c r="L71" s="99"/>
      <c r="M71" s="99"/>
      <c r="N71" s="99"/>
      <c r="O71" s="99"/>
      <c r="P71" s="98">
        <v>100000</v>
      </c>
    </row>
    <row r="72" spans="1:17" ht="45.75" thickBot="1" x14ac:dyDescent="0.25">
      <c r="A72" s="97" t="s">
        <v>789</v>
      </c>
      <c r="B72" s="97"/>
      <c r="C72" s="97"/>
      <c r="D72" s="96"/>
      <c r="E72" s="95">
        <v>437000</v>
      </c>
      <c r="F72" s="95">
        <v>749548</v>
      </c>
      <c r="G72" s="95">
        <v>585091</v>
      </c>
      <c r="H72" s="95">
        <v>766871</v>
      </c>
      <c r="I72" s="95">
        <v>11176361</v>
      </c>
      <c r="J72" s="95">
        <v>4856301</v>
      </c>
      <c r="K72" s="95">
        <v>10671655</v>
      </c>
      <c r="L72" s="95">
        <v>12859810</v>
      </c>
      <c r="M72" s="95">
        <v>7845127</v>
      </c>
      <c r="N72" s="95">
        <v>5770457</v>
      </c>
      <c r="O72" s="95">
        <v>690811</v>
      </c>
      <c r="P72" s="95">
        <v>56409032</v>
      </c>
      <c r="Q72" s="91" t="s">
        <v>617</v>
      </c>
    </row>
    <row r="73" spans="1:17" ht="30.75" thickBot="1" x14ac:dyDescent="0.25">
      <c r="A73" s="101" t="s">
        <v>102</v>
      </c>
      <c r="B73" s="100" t="s">
        <v>718</v>
      </c>
      <c r="C73" s="100" t="s">
        <v>717</v>
      </c>
      <c r="D73" s="99"/>
      <c r="E73" s="99"/>
      <c r="F73" s="99"/>
      <c r="G73" s="99"/>
      <c r="H73" s="99"/>
      <c r="I73" s="99"/>
      <c r="J73" s="99"/>
      <c r="K73" s="99"/>
      <c r="L73" s="99"/>
      <c r="M73" s="99"/>
      <c r="N73" s="99"/>
      <c r="O73" s="98">
        <v>33009</v>
      </c>
      <c r="P73" s="98">
        <v>33009</v>
      </c>
    </row>
    <row r="74" spans="1:17" ht="30.75" thickBot="1" x14ac:dyDescent="0.25">
      <c r="A74" s="101"/>
      <c r="B74" s="100"/>
      <c r="C74" s="100" t="s">
        <v>738</v>
      </c>
      <c r="D74" s="99"/>
      <c r="E74" s="99"/>
      <c r="F74" s="99"/>
      <c r="G74" s="99"/>
      <c r="H74" s="99"/>
      <c r="I74" s="99"/>
      <c r="J74" s="99"/>
      <c r="K74" s="99"/>
      <c r="L74" s="99"/>
      <c r="M74" s="99"/>
      <c r="N74" s="99"/>
      <c r="O74" s="98">
        <v>461520</v>
      </c>
      <c r="P74" s="98">
        <v>461520</v>
      </c>
    </row>
    <row r="75" spans="1:17" ht="15.75" thickBot="1" x14ac:dyDescent="0.25">
      <c r="A75" s="101"/>
      <c r="B75" s="100" t="s">
        <v>665</v>
      </c>
      <c r="C75" s="100" t="s">
        <v>665</v>
      </c>
      <c r="D75" s="99"/>
      <c r="E75" s="99"/>
      <c r="F75" s="99"/>
      <c r="G75" s="99"/>
      <c r="H75" s="99"/>
      <c r="I75" s="99"/>
      <c r="J75" s="99"/>
      <c r="K75" s="98">
        <v>2704000</v>
      </c>
      <c r="L75" s="99"/>
      <c r="M75" s="98">
        <v>2274000</v>
      </c>
      <c r="N75" s="99"/>
      <c r="O75" s="98">
        <v>1754000</v>
      </c>
      <c r="P75" s="98">
        <v>6732000</v>
      </c>
    </row>
    <row r="76" spans="1:17" ht="15.75" thickBot="1" x14ac:dyDescent="0.25">
      <c r="A76" s="101"/>
      <c r="B76" s="100" t="s">
        <v>703</v>
      </c>
      <c r="C76" s="100" t="s">
        <v>703</v>
      </c>
      <c r="D76" s="99"/>
      <c r="E76" s="99"/>
      <c r="F76" s="98">
        <v>289562</v>
      </c>
      <c r="G76" s="98">
        <v>115437</v>
      </c>
      <c r="H76" s="99"/>
      <c r="I76" s="98">
        <v>-14705</v>
      </c>
      <c r="J76" s="99"/>
      <c r="K76" s="99"/>
      <c r="L76" s="99"/>
      <c r="M76" s="99"/>
      <c r="N76" s="99"/>
      <c r="O76" s="99"/>
      <c r="P76" s="98">
        <v>390294</v>
      </c>
    </row>
    <row r="77" spans="1:17" ht="15.75" thickBot="1" x14ac:dyDescent="0.25">
      <c r="A77" s="101"/>
      <c r="B77" s="100" t="s">
        <v>702</v>
      </c>
      <c r="C77" s="100" t="s">
        <v>702</v>
      </c>
      <c r="D77" s="99"/>
      <c r="E77" s="98">
        <v>162500</v>
      </c>
      <c r="F77" s="99"/>
      <c r="G77" s="98">
        <v>162500</v>
      </c>
      <c r="H77" s="98">
        <v>325000</v>
      </c>
      <c r="I77" s="99"/>
      <c r="J77" s="99"/>
      <c r="K77" s="98">
        <v>1393000</v>
      </c>
      <c r="L77" s="98">
        <v>615500</v>
      </c>
      <c r="M77" s="99"/>
      <c r="N77" s="99"/>
      <c r="O77" s="99"/>
      <c r="P77" s="98">
        <v>2658500</v>
      </c>
    </row>
    <row r="78" spans="1:17" ht="30.75" thickBot="1" x14ac:dyDescent="0.25">
      <c r="A78" s="101"/>
      <c r="B78" s="100" t="s">
        <v>701</v>
      </c>
      <c r="C78" s="100" t="s">
        <v>710</v>
      </c>
      <c r="D78" s="99"/>
      <c r="E78" s="99"/>
      <c r="F78" s="99"/>
      <c r="G78" s="99"/>
      <c r="H78" s="98">
        <v>460000</v>
      </c>
      <c r="I78" s="99"/>
      <c r="J78" s="99"/>
      <c r="K78" s="99"/>
      <c r="L78" s="99"/>
      <c r="M78" s="99"/>
      <c r="N78" s="99"/>
      <c r="O78" s="99"/>
      <c r="P78" s="98">
        <v>460000</v>
      </c>
    </row>
    <row r="79" spans="1:17" ht="15.75" thickBot="1" x14ac:dyDescent="0.25">
      <c r="A79" s="101"/>
      <c r="B79" s="100"/>
      <c r="C79" s="100" t="s">
        <v>700</v>
      </c>
      <c r="D79" s="99"/>
      <c r="E79" s="99"/>
      <c r="F79" s="99"/>
      <c r="G79" s="99"/>
      <c r="H79" s="98">
        <v>891012</v>
      </c>
      <c r="I79" s="98">
        <v>3228039</v>
      </c>
      <c r="J79" s="98">
        <v>4504952</v>
      </c>
      <c r="K79" s="98">
        <v>4241520</v>
      </c>
      <c r="L79" s="98">
        <v>4518307</v>
      </c>
      <c r="M79" s="98">
        <v>3099424</v>
      </c>
      <c r="N79" s="98">
        <v>1795349</v>
      </c>
      <c r="O79" s="98">
        <v>2610726</v>
      </c>
      <c r="P79" s="98">
        <v>24889329</v>
      </c>
    </row>
    <row r="80" spans="1:17" ht="30.75" thickBot="1" x14ac:dyDescent="0.25">
      <c r="A80" s="101"/>
      <c r="B80" s="100"/>
      <c r="C80" s="100" t="s">
        <v>705</v>
      </c>
      <c r="D80" s="99"/>
      <c r="E80" s="99"/>
      <c r="F80" s="98">
        <v>2811494</v>
      </c>
      <c r="G80" s="98">
        <v>3877440</v>
      </c>
      <c r="H80" s="98">
        <v>290000</v>
      </c>
      <c r="I80" s="98">
        <v>-2251340</v>
      </c>
      <c r="J80" s="99"/>
      <c r="K80" s="99"/>
      <c r="L80" s="99"/>
      <c r="M80" s="99"/>
      <c r="N80" s="99"/>
      <c r="O80" s="99"/>
      <c r="P80" s="98">
        <v>4727594</v>
      </c>
    </row>
    <row r="81" spans="1:17" ht="60.75" thickBot="1" x14ac:dyDescent="0.25">
      <c r="A81" s="101"/>
      <c r="B81" s="100" t="s">
        <v>699</v>
      </c>
      <c r="C81" s="100" t="s">
        <v>699</v>
      </c>
      <c r="D81" s="99"/>
      <c r="E81" s="99"/>
      <c r="F81" s="98">
        <v>100000</v>
      </c>
      <c r="G81" s="99"/>
      <c r="H81" s="99"/>
      <c r="I81" s="99"/>
      <c r="J81" s="99"/>
      <c r="K81" s="99"/>
      <c r="L81" s="99"/>
      <c r="M81" s="99"/>
      <c r="N81" s="99"/>
      <c r="O81" s="99"/>
      <c r="P81" s="98">
        <v>100000</v>
      </c>
    </row>
    <row r="82" spans="1:17" ht="30.75" thickBot="1" x14ac:dyDescent="0.25">
      <c r="A82" s="97" t="s">
        <v>788</v>
      </c>
      <c r="B82" s="97"/>
      <c r="C82" s="97"/>
      <c r="D82" s="96"/>
      <c r="E82" s="95">
        <v>162500</v>
      </c>
      <c r="F82" s="95">
        <v>3201056</v>
      </c>
      <c r="G82" s="95">
        <v>4155377</v>
      </c>
      <c r="H82" s="95">
        <v>1966012</v>
      </c>
      <c r="I82" s="95">
        <v>961993</v>
      </c>
      <c r="J82" s="95">
        <v>4504952</v>
      </c>
      <c r="K82" s="95">
        <v>8338520</v>
      </c>
      <c r="L82" s="95">
        <v>5133807</v>
      </c>
      <c r="M82" s="95">
        <v>5373424</v>
      </c>
      <c r="N82" s="95">
        <v>1795349</v>
      </c>
      <c r="O82" s="95">
        <v>4859255</v>
      </c>
      <c r="P82" s="95">
        <v>40452245</v>
      </c>
      <c r="Q82" s="91" t="s">
        <v>617</v>
      </c>
    </row>
    <row r="83" spans="1:17" ht="30.75" thickBot="1" x14ac:dyDescent="0.25">
      <c r="A83" s="101" t="s">
        <v>101</v>
      </c>
      <c r="B83" s="100" t="s">
        <v>665</v>
      </c>
      <c r="C83" s="100" t="s">
        <v>665</v>
      </c>
      <c r="D83" s="99"/>
      <c r="E83" s="99"/>
      <c r="F83" s="99"/>
      <c r="G83" s="99"/>
      <c r="H83" s="99"/>
      <c r="I83" s="99"/>
      <c r="J83" s="99"/>
      <c r="K83" s="98">
        <v>1850000</v>
      </c>
      <c r="L83" s="98">
        <v>337500</v>
      </c>
      <c r="M83" s="98">
        <v>1509500</v>
      </c>
      <c r="N83" s="98">
        <v>1464000</v>
      </c>
      <c r="O83" s="99"/>
      <c r="P83" s="98">
        <v>5161000</v>
      </c>
    </row>
    <row r="84" spans="1:17" ht="15.75" thickBot="1" x14ac:dyDescent="0.25">
      <c r="A84" s="101"/>
      <c r="B84" s="100" t="s">
        <v>703</v>
      </c>
      <c r="C84" s="100" t="s">
        <v>703</v>
      </c>
      <c r="D84" s="99"/>
      <c r="E84" s="99"/>
      <c r="F84" s="98">
        <v>482449</v>
      </c>
      <c r="G84" s="98">
        <v>209346</v>
      </c>
      <c r="H84" s="99"/>
      <c r="I84" s="98">
        <v>-104142</v>
      </c>
      <c r="J84" s="99">
        <v>0</v>
      </c>
      <c r="K84" s="99"/>
      <c r="L84" s="99"/>
      <c r="M84" s="99"/>
      <c r="N84" s="99"/>
      <c r="O84" s="99"/>
      <c r="P84" s="98">
        <v>587653</v>
      </c>
    </row>
    <row r="85" spans="1:17" ht="15.75" thickBot="1" x14ac:dyDescent="0.25">
      <c r="A85" s="101"/>
      <c r="B85" s="100" t="s">
        <v>702</v>
      </c>
      <c r="C85" s="100" t="s">
        <v>702</v>
      </c>
      <c r="D85" s="99"/>
      <c r="E85" s="99"/>
      <c r="F85" s="98">
        <v>334300</v>
      </c>
      <c r="G85" s="98">
        <v>334300</v>
      </c>
      <c r="H85" s="98">
        <v>668600</v>
      </c>
      <c r="I85" s="99"/>
      <c r="J85" s="99"/>
      <c r="K85" s="99"/>
      <c r="L85" s="99"/>
      <c r="M85" s="99"/>
      <c r="N85" s="98">
        <v>141000</v>
      </c>
      <c r="O85" s="99"/>
      <c r="P85" s="98">
        <v>1478200</v>
      </c>
    </row>
    <row r="86" spans="1:17" ht="15.75" thickBot="1" x14ac:dyDescent="0.25">
      <c r="A86" s="101"/>
      <c r="B86" s="100" t="s">
        <v>701</v>
      </c>
      <c r="C86" s="100" t="s">
        <v>700</v>
      </c>
      <c r="D86" s="99"/>
      <c r="E86" s="99"/>
      <c r="F86" s="99"/>
      <c r="G86" s="99"/>
      <c r="H86" s="99"/>
      <c r="I86" s="99"/>
      <c r="J86" s="99"/>
      <c r="K86" s="99"/>
      <c r="L86" s="99"/>
      <c r="M86" s="98">
        <v>3144549</v>
      </c>
      <c r="N86" s="98">
        <v>1957541</v>
      </c>
      <c r="O86" s="98">
        <v>3382548</v>
      </c>
      <c r="P86" s="98">
        <v>8484638</v>
      </c>
    </row>
    <row r="87" spans="1:17" ht="45.75" thickBot="1" x14ac:dyDescent="0.25">
      <c r="A87" s="101"/>
      <c r="B87" s="100"/>
      <c r="C87" s="100" t="s">
        <v>720</v>
      </c>
      <c r="D87" s="99"/>
      <c r="E87" s="98">
        <v>328100</v>
      </c>
      <c r="F87" s="98">
        <v>449871</v>
      </c>
      <c r="G87" s="98">
        <v>1080298</v>
      </c>
      <c r="H87" s="98">
        <v>1104792</v>
      </c>
      <c r="I87" s="98">
        <v>2114867</v>
      </c>
      <c r="J87" s="98">
        <v>1159269</v>
      </c>
      <c r="K87" s="98">
        <v>1244289</v>
      </c>
      <c r="L87" s="98">
        <v>596008</v>
      </c>
      <c r="M87" s="98">
        <v>-39043</v>
      </c>
      <c r="N87" s="99"/>
      <c r="O87" s="99"/>
      <c r="P87" s="98">
        <v>8038453</v>
      </c>
    </row>
    <row r="88" spans="1:17" ht="60.75" thickBot="1" x14ac:dyDescent="0.25">
      <c r="A88" s="101"/>
      <c r="B88" s="100" t="s">
        <v>699</v>
      </c>
      <c r="C88" s="100" t="s">
        <v>699</v>
      </c>
      <c r="D88" s="99"/>
      <c r="E88" s="99"/>
      <c r="F88" s="98">
        <v>100000</v>
      </c>
      <c r="G88" s="99"/>
      <c r="H88" s="99"/>
      <c r="I88" s="99"/>
      <c r="J88" s="99"/>
      <c r="K88" s="99"/>
      <c r="L88" s="99"/>
      <c r="M88" s="98">
        <v>131000</v>
      </c>
      <c r="N88" s="99"/>
      <c r="O88" s="99"/>
      <c r="P88" s="98">
        <v>231000</v>
      </c>
    </row>
    <row r="89" spans="1:17" ht="30.75" thickBot="1" x14ac:dyDescent="0.25">
      <c r="A89" s="97" t="s">
        <v>787</v>
      </c>
      <c r="B89" s="97"/>
      <c r="C89" s="97"/>
      <c r="D89" s="96"/>
      <c r="E89" s="95">
        <v>328100</v>
      </c>
      <c r="F89" s="95">
        <v>1366620</v>
      </c>
      <c r="G89" s="95">
        <v>1623944</v>
      </c>
      <c r="H89" s="95">
        <v>1773392</v>
      </c>
      <c r="I89" s="95">
        <v>2010725</v>
      </c>
      <c r="J89" s="95">
        <v>1159269</v>
      </c>
      <c r="K89" s="95">
        <v>3094289</v>
      </c>
      <c r="L89" s="95">
        <v>933508</v>
      </c>
      <c r="M89" s="95">
        <v>4746007</v>
      </c>
      <c r="N89" s="95">
        <v>3562541</v>
      </c>
      <c r="O89" s="95">
        <v>3382548</v>
      </c>
      <c r="P89" s="95">
        <v>23980944</v>
      </c>
      <c r="Q89" s="91" t="s">
        <v>617</v>
      </c>
    </row>
    <row r="90" spans="1:17" ht="30.75" thickBot="1" x14ac:dyDescent="0.25">
      <c r="A90" s="101" t="s">
        <v>57</v>
      </c>
      <c r="B90" s="100" t="s">
        <v>718</v>
      </c>
      <c r="C90" s="100" t="s">
        <v>717</v>
      </c>
      <c r="D90" s="99"/>
      <c r="E90" s="99"/>
      <c r="F90" s="99"/>
      <c r="G90" s="99"/>
      <c r="H90" s="99"/>
      <c r="I90" s="99"/>
      <c r="J90" s="99"/>
      <c r="K90" s="99"/>
      <c r="L90" s="99"/>
      <c r="M90" s="98">
        <v>56199</v>
      </c>
      <c r="N90" s="99"/>
      <c r="O90" s="99"/>
      <c r="P90" s="98">
        <v>56199</v>
      </c>
    </row>
    <row r="91" spans="1:17" ht="15.75" thickBot="1" x14ac:dyDescent="0.25">
      <c r="A91" s="101"/>
      <c r="B91" s="100" t="s">
        <v>665</v>
      </c>
      <c r="C91" s="100" t="s">
        <v>665</v>
      </c>
      <c r="D91" s="99"/>
      <c r="E91" s="99"/>
      <c r="F91" s="99"/>
      <c r="G91" s="99"/>
      <c r="H91" s="99"/>
      <c r="I91" s="99"/>
      <c r="J91" s="99"/>
      <c r="K91" s="98">
        <v>1858000</v>
      </c>
      <c r="L91" s="98">
        <v>1912000</v>
      </c>
      <c r="M91" s="98">
        <v>1967500</v>
      </c>
      <c r="N91" s="99"/>
      <c r="O91" s="98">
        <v>2024500</v>
      </c>
      <c r="P91" s="98">
        <v>7762000</v>
      </c>
    </row>
    <row r="92" spans="1:17" ht="15.75" thickBot="1" x14ac:dyDescent="0.25">
      <c r="A92" s="101"/>
      <c r="B92" s="100" t="s">
        <v>703</v>
      </c>
      <c r="C92" s="100" t="s">
        <v>703</v>
      </c>
      <c r="D92" s="99"/>
      <c r="E92" s="99"/>
      <c r="F92" s="99"/>
      <c r="G92" s="98">
        <v>727431</v>
      </c>
      <c r="H92" s="98">
        <v>191852</v>
      </c>
      <c r="I92" s="98">
        <v>76556</v>
      </c>
      <c r="J92" s="99"/>
      <c r="K92" s="98">
        <v>-2994</v>
      </c>
      <c r="L92" s="99"/>
      <c r="M92" s="99"/>
      <c r="N92" s="99"/>
      <c r="O92" s="99"/>
      <c r="P92" s="98">
        <v>992844</v>
      </c>
    </row>
    <row r="93" spans="1:17" ht="15.75" thickBot="1" x14ac:dyDescent="0.25">
      <c r="A93" s="101"/>
      <c r="B93" s="100" t="s">
        <v>702</v>
      </c>
      <c r="C93" s="100" t="s">
        <v>702</v>
      </c>
      <c r="D93" s="99"/>
      <c r="E93" s="98">
        <v>553500</v>
      </c>
      <c r="F93" s="99"/>
      <c r="G93" s="98">
        <v>553500</v>
      </c>
      <c r="H93" s="98">
        <v>553500</v>
      </c>
      <c r="I93" s="98">
        <v>2292360</v>
      </c>
      <c r="J93" s="98">
        <v>1537260</v>
      </c>
      <c r="K93" s="98">
        <v>479000</v>
      </c>
      <c r="L93" s="99"/>
      <c r="M93" s="99"/>
      <c r="N93" s="99"/>
      <c r="O93" s="98">
        <v>615000</v>
      </c>
      <c r="P93" s="98">
        <v>6584120</v>
      </c>
    </row>
    <row r="94" spans="1:17" ht="15.75" thickBot="1" x14ac:dyDescent="0.25">
      <c r="A94" s="101"/>
      <c r="B94" s="100" t="s">
        <v>701</v>
      </c>
      <c r="C94" s="100" t="s">
        <v>700</v>
      </c>
      <c r="D94" s="99"/>
      <c r="E94" s="99"/>
      <c r="F94" s="99"/>
      <c r="G94" s="99"/>
      <c r="H94" s="99"/>
      <c r="I94" s="99"/>
      <c r="J94" s="99"/>
      <c r="K94" s="99"/>
      <c r="L94" s="98">
        <v>4624634</v>
      </c>
      <c r="M94" s="98">
        <v>6926818</v>
      </c>
      <c r="N94" s="98">
        <v>11029291</v>
      </c>
      <c r="O94" s="99"/>
      <c r="P94" s="98">
        <v>22580743</v>
      </c>
    </row>
    <row r="95" spans="1:17" ht="15.75" thickBot="1" x14ac:dyDescent="0.25">
      <c r="A95" s="101"/>
      <c r="B95" s="100"/>
      <c r="C95" s="100" t="s">
        <v>708</v>
      </c>
      <c r="D95" s="99"/>
      <c r="E95" s="99"/>
      <c r="F95" s="99"/>
      <c r="G95" s="99"/>
      <c r="H95" s="99"/>
      <c r="I95" s="99"/>
      <c r="J95" s="99"/>
      <c r="K95" s="99"/>
      <c r="L95" s="99"/>
      <c r="M95" s="99"/>
      <c r="N95" s="99"/>
      <c r="O95" s="98">
        <v>3899370</v>
      </c>
      <c r="P95" s="98">
        <v>3899370</v>
      </c>
    </row>
    <row r="96" spans="1:17" ht="45.75" thickBot="1" x14ac:dyDescent="0.25">
      <c r="A96" s="101"/>
      <c r="B96" s="100"/>
      <c r="C96" s="100" t="s">
        <v>720</v>
      </c>
      <c r="D96" s="99"/>
      <c r="E96" s="99"/>
      <c r="F96" s="99"/>
      <c r="G96" s="99"/>
      <c r="H96" s="98">
        <v>2718984</v>
      </c>
      <c r="I96" s="98">
        <v>2241823</v>
      </c>
      <c r="J96" s="98">
        <v>2742111</v>
      </c>
      <c r="K96" s="98">
        <v>1602197</v>
      </c>
      <c r="L96" s="98">
        <v>-306154</v>
      </c>
      <c r="M96" s="98">
        <v>1714</v>
      </c>
      <c r="N96" s="99"/>
      <c r="O96" s="99"/>
      <c r="P96" s="98">
        <v>9000675</v>
      </c>
    </row>
    <row r="97" spans="1:17" ht="30.75" thickBot="1" x14ac:dyDescent="0.25">
      <c r="A97" s="101"/>
      <c r="B97" s="100"/>
      <c r="C97" s="100" t="s">
        <v>716</v>
      </c>
      <c r="D97" s="99"/>
      <c r="E97" s="99"/>
      <c r="F97" s="99"/>
      <c r="G97" s="98">
        <v>890133</v>
      </c>
      <c r="H97" s="99"/>
      <c r="I97" s="98">
        <v>699574</v>
      </c>
      <c r="J97" s="98">
        <v>533061</v>
      </c>
      <c r="K97" s="98">
        <v>549373</v>
      </c>
      <c r="L97" s="98">
        <v>135356</v>
      </c>
      <c r="M97" s="98">
        <v>916387</v>
      </c>
      <c r="N97" s="98">
        <v>886216</v>
      </c>
      <c r="O97" s="99"/>
      <c r="P97" s="98">
        <v>4610100</v>
      </c>
    </row>
    <row r="98" spans="1:17" ht="60.75" thickBot="1" x14ac:dyDescent="0.25">
      <c r="A98" s="101"/>
      <c r="B98" s="100" t="s">
        <v>699</v>
      </c>
      <c r="C98" s="100" t="s">
        <v>699</v>
      </c>
      <c r="D98" s="99"/>
      <c r="E98" s="99"/>
      <c r="F98" s="99"/>
      <c r="G98" s="98">
        <v>100000</v>
      </c>
      <c r="H98" s="99"/>
      <c r="I98" s="99"/>
      <c r="J98" s="99"/>
      <c r="K98" s="99"/>
      <c r="L98" s="98">
        <v>258500</v>
      </c>
      <c r="M98" s="98">
        <v>273500</v>
      </c>
      <c r="N98" s="99"/>
      <c r="O98" s="99"/>
      <c r="P98" s="98">
        <v>632000</v>
      </c>
    </row>
    <row r="99" spans="1:17" ht="30.75" thickBot="1" x14ac:dyDescent="0.25">
      <c r="A99" s="97" t="s">
        <v>786</v>
      </c>
      <c r="B99" s="97"/>
      <c r="C99" s="97"/>
      <c r="D99" s="96"/>
      <c r="E99" s="95">
        <v>553500</v>
      </c>
      <c r="F99" s="96"/>
      <c r="G99" s="95">
        <v>2271064</v>
      </c>
      <c r="H99" s="95">
        <v>3464336</v>
      </c>
      <c r="I99" s="95">
        <v>5310312</v>
      </c>
      <c r="J99" s="95">
        <v>4812432</v>
      </c>
      <c r="K99" s="95">
        <v>4485576</v>
      </c>
      <c r="L99" s="95">
        <v>6624336</v>
      </c>
      <c r="M99" s="95">
        <v>10142118</v>
      </c>
      <c r="N99" s="95">
        <v>11915507</v>
      </c>
      <c r="O99" s="95">
        <v>6538870</v>
      </c>
      <c r="P99" s="95">
        <v>56118051</v>
      </c>
    </row>
    <row r="100" spans="1:17" ht="15.75" thickBot="1" x14ac:dyDescent="0.25">
      <c r="A100" s="101" t="s">
        <v>785</v>
      </c>
      <c r="B100" s="100" t="s">
        <v>665</v>
      </c>
      <c r="C100" s="100" t="s">
        <v>665</v>
      </c>
      <c r="D100" s="99"/>
      <c r="E100" s="99"/>
      <c r="F100" s="99"/>
      <c r="G100" s="99"/>
      <c r="H100" s="99"/>
      <c r="I100" s="99"/>
      <c r="J100" s="99"/>
      <c r="K100" s="99"/>
      <c r="L100" s="98">
        <v>1893000</v>
      </c>
      <c r="M100" s="99"/>
      <c r="N100" s="99"/>
      <c r="O100" s="98">
        <v>591000</v>
      </c>
      <c r="P100" s="98">
        <v>2484000</v>
      </c>
    </row>
    <row r="101" spans="1:17" ht="15.75" thickBot="1" x14ac:dyDescent="0.25">
      <c r="A101" s="101"/>
      <c r="B101" s="100" t="s">
        <v>703</v>
      </c>
      <c r="C101" s="100" t="s">
        <v>703</v>
      </c>
      <c r="D101" s="99"/>
      <c r="E101" s="99"/>
      <c r="F101" s="99"/>
      <c r="G101" s="98">
        <v>47809</v>
      </c>
      <c r="H101" s="99"/>
      <c r="I101" s="98">
        <v>25986</v>
      </c>
      <c r="J101" s="98">
        <v>45857</v>
      </c>
      <c r="K101" s="99"/>
      <c r="L101" s="99"/>
      <c r="M101" s="99"/>
      <c r="N101" s="99"/>
      <c r="O101" s="99"/>
      <c r="P101" s="98">
        <v>119651</v>
      </c>
    </row>
    <row r="102" spans="1:17" ht="15.75" thickBot="1" x14ac:dyDescent="0.25">
      <c r="A102" s="101"/>
      <c r="B102" s="100" t="s">
        <v>702</v>
      </c>
      <c r="C102" s="100" t="s">
        <v>702</v>
      </c>
      <c r="D102" s="99"/>
      <c r="E102" s="99"/>
      <c r="F102" s="98">
        <v>111400</v>
      </c>
      <c r="G102" s="99"/>
      <c r="H102" s="98">
        <v>111400</v>
      </c>
      <c r="I102" s="98">
        <v>222800</v>
      </c>
      <c r="J102" s="98">
        <v>135260</v>
      </c>
      <c r="K102" s="99"/>
      <c r="L102" s="98">
        <v>1030500</v>
      </c>
      <c r="M102" s="99"/>
      <c r="N102" s="99"/>
      <c r="O102" s="99"/>
      <c r="P102" s="98">
        <v>1611360</v>
      </c>
    </row>
    <row r="103" spans="1:17" ht="15.75" thickBot="1" x14ac:dyDescent="0.25">
      <c r="A103" s="101"/>
      <c r="B103" s="100" t="s">
        <v>701</v>
      </c>
      <c r="C103" s="100" t="s">
        <v>700</v>
      </c>
      <c r="D103" s="99"/>
      <c r="E103" s="99"/>
      <c r="F103" s="99"/>
      <c r="G103" s="99"/>
      <c r="H103" s="99"/>
      <c r="I103" s="99"/>
      <c r="J103" s="99"/>
      <c r="K103" s="99"/>
      <c r="L103" s="98">
        <v>1844924</v>
      </c>
      <c r="M103" s="98">
        <v>1587504</v>
      </c>
      <c r="N103" s="98">
        <v>616983</v>
      </c>
      <c r="O103" s="99"/>
      <c r="P103" s="98">
        <v>4049411</v>
      </c>
    </row>
    <row r="104" spans="1:17" ht="15.75" thickBot="1" x14ac:dyDescent="0.25">
      <c r="A104" s="101"/>
      <c r="B104" s="100"/>
      <c r="C104" s="100" t="s">
        <v>708</v>
      </c>
      <c r="D104" s="99"/>
      <c r="E104" s="99"/>
      <c r="F104" s="99"/>
      <c r="G104" s="99"/>
      <c r="H104" s="99"/>
      <c r="I104" s="99"/>
      <c r="J104" s="99"/>
      <c r="K104" s="99"/>
      <c r="L104" s="99"/>
      <c r="M104" s="99"/>
      <c r="N104" s="99"/>
      <c r="O104" s="98">
        <v>1135358</v>
      </c>
      <c r="P104" s="98">
        <v>1135358</v>
      </c>
    </row>
    <row r="105" spans="1:17" ht="30.75" thickBot="1" x14ac:dyDescent="0.25">
      <c r="A105" s="101"/>
      <c r="B105" s="100"/>
      <c r="C105" s="100" t="s">
        <v>716</v>
      </c>
      <c r="D105" s="99"/>
      <c r="E105" s="99"/>
      <c r="F105" s="98">
        <v>56324</v>
      </c>
      <c r="G105" s="98">
        <v>99648</v>
      </c>
      <c r="H105" s="99"/>
      <c r="I105" s="98">
        <v>255383</v>
      </c>
      <c r="J105" s="98">
        <v>40338</v>
      </c>
      <c r="K105" s="98">
        <v>86898</v>
      </c>
      <c r="L105" s="98">
        <v>135710</v>
      </c>
      <c r="M105" s="98">
        <v>186164</v>
      </c>
      <c r="N105" s="98">
        <v>266679</v>
      </c>
      <c r="O105" s="99"/>
      <c r="P105" s="98">
        <v>1127144</v>
      </c>
    </row>
    <row r="106" spans="1:17" ht="60.75" thickBot="1" x14ac:dyDescent="0.25">
      <c r="A106" s="101"/>
      <c r="B106" s="100" t="s">
        <v>699</v>
      </c>
      <c r="C106" s="100" t="s">
        <v>699</v>
      </c>
      <c r="D106" s="99"/>
      <c r="E106" s="99"/>
      <c r="F106" s="98">
        <v>100000</v>
      </c>
      <c r="G106" s="99"/>
      <c r="H106" s="99"/>
      <c r="I106" s="99"/>
      <c r="J106" s="99"/>
      <c r="K106" s="99"/>
      <c r="L106" s="98">
        <v>200000</v>
      </c>
      <c r="M106" s="99"/>
      <c r="N106" s="99"/>
      <c r="O106" s="99"/>
      <c r="P106" s="98">
        <v>300000</v>
      </c>
    </row>
    <row r="107" spans="1:17" ht="30.75" thickBot="1" x14ac:dyDescent="0.25">
      <c r="A107" s="97" t="s">
        <v>784</v>
      </c>
      <c r="B107" s="97"/>
      <c r="C107" s="97"/>
      <c r="D107" s="96"/>
      <c r="E107" s="96"/>
      <c r="F107" s="95">
        <v>267724</v>
      </c>
      <c r="G107" s="95">
        <v>147457</v>
      </c>
      <c r="H107" s="95">
        <v>111400</v>
      </c>
      <c r="I107" s="95">
        <v>504168</v>
      </c>
      <c r="J107" s="95">
        <v>221455</v>
      </c>
      <c r="K107" s="95">
        <v>86898</v>
      </c>
      <c r="L107" s="95">
        <v>5104134</v>
      </c>
      <c r="M107" s="95">
        <v>1773668</v>
      </c>
      <c r="N107" s="95">
        <v>883662</v>
      </c>
      <c r="O107" s="95">
        <v>1726358</v>
      </c>
      <c r="P107" s="95">
        <v>10826924</v>
      </c>
      <c r="Q107" s="91" t="s">
        <v>706</v>
      </c>
    </row>
    <row r="108" spans="1:17" ht="15.75" thickBot="1" x14ac:dyDescent="0.25">
      <c r="A108" s="101" t="s">
        <v>99</v>
      </c>
      <c r="B108" s="100" t="s">
        <v>665</v>
      </c>
      <c r="C108" s="100" t="s">
        <v>665</v>
      </c>
      <c r="D108" s="99"/>
      <c r="E108" s="99"/>
      <c r="F108" s="99"/>
      <c r="G108" s="99"/>
      <c r="H108" s="99"/>
      <c r="I108" s="99"/>
      <c r="J108" s="99"/>
      <c r="K108" s="99"/>
      <c r="L108" s="98">
        <v>707000</v>
      </c>
      <c r="M108" s="99"/>
      <c r="N108" s="99"/>
      <c r="O108" s="99"/>
      <c r="P108" s="98">
        <v>707000</v>
      </c>
    </row>
    <row r="109" spans="1:17" ht="15.75" thickBot="1" x14ac:dyDescent="0.25">
      <c r="A109" s="101"/>
      <c r="B109" s="100" t="s">
        <v>703</v>
      </c>
      <c r="C109" s="100" t="s">
        <v>703</v>
      </c>
      <c r="D109" s="99"/>
      <c r="E109" s="99"/>
      <c r="F109" s="99"/>
      <c r="G109" s="98">
        <v>128295</v>
      </c>
      <c r="H109" s="98">
        <v>111659</v>
      </c>
      <c r="I109" s="98">
        <v>196131</v>
      </c>
      <c r="J109" s="99"/>
      <c r="K109" s="98">
        <v>7727</v>
      </c>
      <c r="L109" s="99"/>
      <c r="M109" s="99"/>
      <c r="N109" s="99"/>
      <c r="O109" s="99"/>
      <c r="P109" s="98">
        <v>443812</v>
      </c>
    </row>
    <row r="110" spans="1:17" ht="15.75" thickBot="1" x14ac:dyDescent="0.25">
      <c r="A110" s="101"/>
      <c r="B110" s="100" t="s">
        <v>702</v>
      </c>
      <c r="C110" s="100" t="s">
        <v>702</v>
      </c>
      <c r="D110" s="99"/>
      <c r="E110" s="99"/>
      <c r="F110" s="99"/>
      <c r="G110" s="98">
        <v>144500</v>
      </c>
      <c r="H110" s="98">
        <v>144500</v>
      </c>
      <c r="I110" s="98">
        <v>144500</v>
      </c>
      <c r="J110" s="98">
        <v>144500</v>
      </c>
      <c r="K110" s="98">
        <v>2059000</v>
      </c>
      <c r="L110" s="99"/>
      <c r="M110" s="99"/>
      <c r="N110" s="99"/>
      <c r="O110" s="99"/>
      <c r="P110" s="98">
        <v>2637000</v>
      </c>
    </row>
    <row r="111" spans="1:17" ht="15.75" thickBot="1" x14ac:dyDescent="0.25">
      <c r="A111" s="101"/>
      <c r="B111" s="100" t="s">
        <v>701</v>
      </c>
      <c r="C111" s="100" t="s">
        <v>700</v>
      </c>
      <c r="D111" s="99"/>
      <c r="E111" s="99"/>
      <c r="F111" s="99"/>
      <c r="G111" s="99"/>
      <c r="H111" s="99"/>
      <c r="I111" s="99"/>
      <c r="J111" s="99"/>
      <c r="K111" s="99"/>
      <c r="L111" s="98">
        <v>3932802</v>
      </c>
      <c r="M111" s="98">
        <v>3981920</v>
      </c>
      <c r="N111" s="98">
        <v>2565068</v>
      </c>
      <c r="O111" s="98">
        <v>953162</v>
      </c>
      <c r="P111" s="98">
        <v>11432952</v>
      </c>
    </row>
    <row r="112" spans="1:17" ht="30.75" thickBot="1" x14ac:dyDescent="0.25">
      <c r="A112" s="101"/>
      <c r="B112" s="100"/>
      <c r="C112" s="100" t="s">
        <v>716</v>
      </c>
      <c r="D112" s="99"/>
      <c r="E112" s="99"/>
      <c r="F112" s="99"/>
      <c r="G112" s="98">
        <v>218202</v>
      </c>
      <c r="H112" s="98">
        <v>112595</v>
      </c>
      <c r="I112" s="98">
        <v>100750</v>
      </c>
      <c r="J112" s="98">
        <v>227235</v>
      </c>
      <c r="K112" s="98">
        <v>248763</v>
      </c>
      <c r="L112" s="98">
        <v>291187</v>
      </c>
      <c r="M112" s="98">
        <v>299225</v>
      </c>
      <c r="N112" s="98">
        <v>613219</v>
      </c>
      <c r="O112" s="99"/>
      <c r="P112" s="98">
        <v>2111176</v>
      </c>
    </row>
    <row r="113" spans="1:17" ht="60.75" thickBot="1" x14ac:dyDescent="0.25">
      <c r="A113" s="101"/>
      <c r="B113" s="100" t="s">
        <v>699</v>
      </c>
      <c r="C113" s="100" t="s">
        <v>699</v>
      </c>
      <c r="D113" s="99"/>
      <c r="E113" s="99"/>
      <c r="F113" s="99"/>
      <c r="G113" s="99"/>
      <c r="H113" s="98">
        <v>100000</v>
      </c>
      <c r="I113" s="99"/>
      <c r="J113" s="99"/>
      <c r="K113" s="99"/>
      <c r="L113" s="98">
        <v>125000</v>
      </c>
      <c r="M113" s="99"/>
      <c r="N113" s="99"/>
      <c r="O113" s="99"/>
      <c r="P113" s="98">
        <v>225000</v>
      </c>
    </row>
    <row r="114" spans="1:17" ht="30.75" thickBot="1" x14ac:dyDescent="0.25">
      <c r="A114" s="97" t="s">
        <v>783</v>
      </c>
      <c r="B114" s="97"/>
      <c r="C114" s="97"/>
      <c r="D114" s="96"/>
      <c r="E114" s="96"/>
      <c r="F114" s="96"/>
      <c r="G114" s="95">
        <v>490997</v>
      </c>
      <c r="H114" s="95">
        <v>468755</v>
      </c>
      <c r="I114" s="95">
        <v>441381</v>
      </c>
      <c r="J114" s="95">
        <v>371735</v>
      </c>
      <c r="K114" s="95">
        <v>2315490</v>
      </c>
      <c r="L114" s="95">
        <v>5055989</v>
      </c>
      <c r="M114" s="95">
        <v>4281145</v>
      </c>
      <c r="N114" s="95">
        <v>3178287</v>
      </c>
      <c r="O114" s="95">
        <v>953162</v>
      </c>
      <c r="P114" s="95">
        <v>17556940</v>
      </c>
      <c r="Q114" s="91" t="s">
        <v>617</v>
      </c>
    </row>
    <row r="115" spans="1:17" ht="15.75" thickBot="1" x14ac:dyDescent="0.25">
      <c r="A115" s="101" t="s">
        <v>55</v>
      </c>
      <c r="B115" s="100" t="s">
        <v>703</v>
      </c>
      <c r="C115" s="100" t="s">
        <v>703</v>
      </c>
      <c r="D115" s="99"/>
      <c r="E115" s="99"/>
      <c r="F115" s="98">
        <v>3185146</v>
      </c>
      <c r="G115" s="98">
        <v>3186000</v>
      </c>
      <c r="H115" s="98">
        <v>3185145</v>
      </c>
      <c r="I115" s="98">
        <v>6370290</v>
      </c>
      <c r="J115" s="99"/>
      <c r="K115" s="99"/>
      <c r="L115" s="99"/>
      <c r="M115" s="99"/>
      <c r="N115" s="99"/>
      <c r="O115" s="99"/>
      <c r="P115" s="98">
        <v>15926581</v>
      </c>
    </row>
    <row r="116" spans="1:17" ht="30.75" thickBot="1" x14ac:dyDescent="0.25">
      <c r="A116" s="101"/>
      <c r="B116" s="100" t="s">
        <v>701</v>
      </c>
      <c r="C116" s="100" t="s">
        <v>710</v>
      </c>
      <c r="D116" s="99"/>
      <c r="E116" s="99"/>
      <c r="F116" s="98">
        <v>4390638</v>
      </c>
      <c r="G116" s="98">
        <v>4390000</v>
      </c>
      <c r="H116" s="98">
        <v>4390638</v>
      </c>
      <c r="I116" s="98">
        <v>8781276</v>
      </c>
      <c r="J116" s="99"/>
      <c r="K116" s="99"/>
      <c r="L116" s="99"/>
      <c r="M116" s="99"/>
      <c r="N116" s="99"/>
      <c r="O116" s="99"/>
      <c r="P116" s="98">
        <v>21952552</v>
      </c>
    </row>
    <row r="117" spans="1:17" ht="60.75" thickBot="1" x14ac:dyDescent="0.25">
      <c r="A117" s="101"/>
      <c r="B117" s="100" t="s">
        <v>699</v>
      </c>
      <c r="C117" s="100" t="s">
        <v>699</v>
      </c>
      <c r="D117" s="99"/>
      <c r="E117" s="99"/>
      <c r="F117" s="98">
        <v>160000</v>
      </c>
      <c r="G117" s="98">
        <v>160000</v>
      </c>
      <c r="H117" s="98">
        <v>160000</v>
      </c>
      <c r="I117" s="98">
        <v>320000</v>
      </c>
      <c r="J117" s="99"/>
      <c r="K117" s="99"/>
      <c r="L117" s="99"/>
      <c r="M117" s="99"/>
      <c r="N117" s="99"/>
      <c r="O117" s="99"/>
      <c r="P117" s="98">
        <v>800000</v>
      </c>
    </row>
    <row r="118" spans="1:17" ht="30.75" thickBot="1" x14ac:dyDescent="0.25">
      <c r="A118" s="97" t="s">
        <v>782</v>
      </c>
      <c r="B118" s="97"/>
      <c r="C118" s="97"/>
      <c r="D118" s="96"/>
      <c r="E118" s="96"/>
      <c r="F118" s="95">
        <v>7735784</v>
      </c>
      <c r="G118" s="95">
        <v>7736000</v>
      </c>
      <c r="H118" s="95">
        <v>7735783</v>
      </c>
      <c r="I118" s="95">
        <v>15471566</v>
      </c>
      <c r="J118" s="96"/>
      <c r="K118" s="96"/>
      <c r="L118" s="96"/>
      <c r="M118" s="96"/>
      <c r="N118" s="96"/>
      <c r="O118" s="96"/>
      <c r="P118" s="95">
        <v>38679133</v>
      </c>
      <c r="Q118" s="91" t="s">
        <v>706</v>
      </c>
    </row>
    <row r="119" spans="1:17" ht="15.75" thickBot="1" x14ac:dyDescent="0.25">
      <c r="A119" s="101" t="s">
        <v>98</v>
      </c>
      <c r="B119" s="100" t="s">
        <v>703</v>
      </c>
      <c r="C119" s="100" t="s">
        <v>703</v>
      </c>
      <c r="D119" s="99"/>
      <c r="E119" s="99"/>
      <c r="F119" s="99"/>
      <c r="G119" s="98">
        <v>33663</v>
      </c>
      <c r="H119" s="98">
        <v>7457</v>
      </c>
      <c r="I119" s="98">
        <v>1203</v>
      </c>
      <c r="J119" s="99"/>
      <c r="K119" s="99">
        <v>0</v>
      </c>
      <c r="L119" s="99"/>
      <c r="M119" s="99"/>
      <c r="N119" s="99"/>
      <c r="O119" s="99"/>
      <c r="P119" s="98">
        <v>42322</v>
      </c>
    </row>
    <row r="120" spans="1:17" ht="15.75" thickBot="1" x14ac:dyDescent="0.25">
      <c r="A120" s="101"/>
      <c r="B120" s="100" t="s">
        <v>702</v>
      </c>
      <c r="C120" s="100" t="s">
        <v>702</v>
      </c>
      <c r="D120" s="99"/>
      <c r="E120" s="98">
        <v>13000</v>
      </c>
      <c r="F120" s="99"/>
      <c r="G120" s="98">
        <v>17000</v>
      </c>
      <c r="H120" s="98">
        <v>30000</v>
      </c>
      <c r="I120" s="99"/>
      <c r="J120" s="99"/>
      <c r="K120" s="99"/>
      <c r="L120" s="99"/>
      <c r="M120" s="99"/>
      <c r="N120" s="99"/>
      <c r="O120" s="99"/>
      <c r="P120" s="98">
        <v>60000</v>
      </c>
    </row>
    <row r="121" spans="1:17" ht="30.75" thickBot="1" x14ac:dyDescent="0.25">
      <c r="A121" s="101"/>
      <c r="B121" s="100" t="s">
        <v>701</v>
      </c>
      <c r="C121" s="100" t="s">
        <v>710</v>
      </c>
      <c r="D121" s="99"/>
      <c r="E121" s="99"/>
      <c r="F121" s="99"/>
      <c r="G121" s="98">
        <v>31366</v>
      </c>
      <c r="H121" s="99"/>
      <c r="I121" s="98">
        <v>15137</v>
      </c>
      <c r="J121" s="99"/>
      <c r="K121" s="99"/>
      <c r="L121" s="99"/>
      <c r="M121" s="99"/>
      <c r="N121" s="99"/>
      <c r="O121" s="99"/>
      <c r="P121" s="98">
        <v>46503</v>
      </c>
    </row>
    <row r="122" spans="1:17" ht="15.75" thickBot="1" x14ac:dyDescent="0.25">
      <c r="A122" s="101"/>
      <c r="B122" s="100"/>
      <c r="C122" s="100" t="s">
        <v>700</v>
      </c>
      <c r="D122" s="99"/>
      <c r="E122" s="99"/>
      <c r="F122" s="99"/>
      <c r="G122" s="99"/>
      <c r="H122" s="99"/>
      <c r="I122" s="99"/>
      <c r="J122" s="99"/>
      <c r="K122" s="99"/>
      <c r="L122" s="98">
        <v>94914</v>
      </c>
      <c r="M122" s="99"/>
      <c r="N122" s="98">
        <v>328065</v>
      </c>
      <c r="O122" s="99"/>
      <c r="P122" s="98">
        <v>422979</v>
      </c>
    </row>
    <row r="123" spans="1:17" ht="45.75" thickBot="1" x14ac:dyDescent="0.25">
      <c r="A123" s="101"/>
      <c r="B123" s="100"/>
      <c r="C123" s="100" t="s">
        <v>720</v>
      </c>
      <c r="D123" s="99"/>
      <c r="E123" s="99"/>
      <c r="F123" s="99"/>
      <c r="G123" s="99"/>
      <c r="H123" s="98">
        <v>118780</v>
      </c>
      <c r="I123" s="98">
        <v>99624</v>
      </c>
      <c r="J123" s="98">
        <v>6927</v>
      </c>
      <c r="K123" s="98">
        <v>32607</v>
      </c>
      <c r="L123" s="98">
        <v>22113</v>
      </c>
      <c r="M123" s="98">
        <v>-15991</v>
      </c>
      <c r="N123" s="99"/>
      <c r="O123" s="99"/>
      <c r="P123" s="98">
        <v>264059</v>
      </c>
    </row>
    <row r="124" spans="1:17" ht="60.75" thickBot="1" x14ac:dyDescent="0.25">
      <c r="A124" s="101"/>
      <c r="B124" s="100" t="s">
        <v>699</v>
      </c>
      <c r="C124" s="100" t="s">
        <v>699</v>
      </c>
      <c r="D124" s="99"/>
      <c r="E124" s="99"/>
      <c r="F124" s="99"/>
      <c r="G124" s="98">
        <v>100000</v>
      </c>
      <c r="H124" s="99"/>
      <c r="I124" s="99"/>
      <c r="J124" s="99"/>
      <c r="K124" s="99"/>
      <c r="L124" s="98">
        <v>100000</v>
      </c>
      <c r="M124" s="99"/>
      <c r="N124" s="99"/>
      <c r="O124" s="99"/>
      <c r="P124" s="98">
        <v>200000</v>
      </c>
    </row>
    <row r="125" spans="1:17" ht="30.75" thickBot="1" x14ac:dyDescent="0.25">
      <c r="A125" s="97" t="s">
        <v>781</v>
      </c>
      <c r="B125" s="97"/>
      <c r="C125" s="97"/>
      <c r="D125" s="96"/>
      <c r="E125" s="95">
        <v>13000</v>
      </c>
      <c r="F125" s="96"/>
      <c r="G125" s="95">
        <v>182029</v>
      </c>
      <c r="H125" s="95">
        <v>156236</v>
      </c>
      <c r="I125" s="95">
        <v>115963</v>
      </c>
      <c r="J125" s="95">
        <v>6927</v>
      </c>
      <c r="K125" s="95">
        <v>32607</v>
      </c>
      <c r="L125" s="95">
        <v>217027</v>
      </c>
      <c r="M125" s="95">
        <v>-15991</v>
      </c>
      <c r="N125" s="95">
        <v>328065</v>
      </c>
      <c r="O125" s="96"/>
      <c r="P125" s="95">
        <v>1035863</v>
      </c>
      <c r="Q125" s="91" t="s">
        <v>617</v>
      </c>
    </row>
    <row r="126" spans="1:17" ht="15.75" thickBot="1" x14ac:dyDescent="0.25">
      <c r="A126" s="101" t="s">
        <v>207</v>
      </c>
      <c r="B126" s="100" t="s">
        <v>703</v>
      </c>
      <c r="C126" s="100" t="s">
        <v>703</v>
      </c>
      <c r="D126" s="99"/>
      <c r="E126" s="99"/>
      <c r="F126" s="99"/>
      <c r="G126" s="98">
        <v>87495</v>
      </c>
      <c r="H126" s="98">
        <v>84697</v>
      </c>
      <c r="I126" s="98">
        <v>59592</v>
      </c>
      <c r="J126" s="99"/>
      <c r="K126" s="98">
        <v>-7249</v>
      </c>
      <c r="L126" s="99"/>
      <c r="M126" s="99"/>
      <c r="N126" s="99"/>
      <c r="O126" s="99"/>
      <c r="P126" s="98">
        <v>224534</v>
      </c>
    </row>
    <row r="127" spans="1:17" ht="15.75" thickBot="1" x14ac:dyDescent="0.25">
      <c r="A127" s="101"/>
      <c r="B127" s="100" t="s">
        <v>702</v>
      </c>
      <c r="C127" s="100" t="s">
        <v>702</v>
      </c>
      <c r="D127" s="99"/>
      <c r="E127" s="99"/>
      <c r="F127" s="99"/>
      <c r="G127" s="98">
        <v>153500</v>
      </c>
      <c r="H127" s="99"/>
      <c r="I127" s="98">
        <v>307000</v>
      </c>
      <c r="J127" s="98">
        <v>153500</v>
      </c>
      <c r="K127" s="98">
        <v>45500</v>
      </c>
      <c r="L127" s="98">
        <v>602000</v>
      </c>
      <c r="M127" s="99"/>
      <c r="N127" s="98">
        <v>-141500</v>
      </c>
      <c r="O127" s="99"/>
      <c r="P127" s="98">
        <v>1120000</v>
      </c>
    </row>
    <row r="128" spans="1:17" ht="15.75" thickBot="1" x14ac:dyDescent="0.25">
      <c r="A128" s="101"/>
      <c r="B128" s="100" t="s">
        <v>701</v>
      </c>
      <c r="C128" s="100" t="s">
        <v>700</v>
      </c>
      <c r="D128" s="99"/>
      <c r="E128" s="99"/>
      <c r="F128" s="99"/>
      <c r="G128" s="99"/>
      <c r="H128" s="99"/>
      <c r="I128" s="99"/>
      <c r="J128" s="99"/>
      <c r="K128" s="99"/>
      <c r="L128" s="98">
        <v>1346260</v>
      </c>
      <c r="M128" s="98">
        <v>2251589</v>
      </c>
      <c r="N128" s="98">
        <v>644807</v>
      </c>
      <c r="O128" s="98">
        <v>543570</v>
      </c>
      <c r="P128" s="98">
        <v>4786227</v>
      </c>
    </row>
    <row r="129" spans="1:17" ht="45.75" thickBot="1" x14ac:dyDescent="0.25">
      <c r="A129" s="101"/>
      <c r="B129" s="100"/>
      <c r="C129" s="100" t="s">
        <v>720</v>
      </c>
      <c r="D129" s="99"/>
      <c r="E129" s="99"/>
      <c r="F129" s="99"/>
      <c r="G129" s="99"/>
      <c r="H129" s="99"/>
      <c r="I129" s="99"/>
      <c r="J129" s="98">
        <v>405073</v>
      </c>
      <c r="K129" s="98">
        <v>590300</v>
      </c>
      <c r="L129" s="98">
        <v>-156720</v>
      </c>
      <c r="M129" s="98">
        <v>-10831</v>
      </c>
      <c r="N129" s="99"/>
      <c r="O129" s="99"/>
      <c r="P129" s="98">
        <v>827822</v>
      </c>
    </row>
    <row r="130" spans="1:17" ht="30.75" thickBot="1" x14ac:dyDescent="0.25">
      <c r="A130" s="101"/>
      <c r="B130" s="100"/>
      <c r="C130" s="100" t="s">
        <v>716</v>
      </c>
      <c r="D130" s="99"/>
      <c r="E130" s="99"/>
      <c r="F130" s="99"/>
      <c r="G130" s="98">
        <v>79996</v>
      </c>
      <c r="H130" s="98">
        <v>135516</v>
      </c>
      <c r="I130" s="98">
        <v>108223</v>
      </c>
      <c r="J130" s="98">
        <v>99541</v>
      </c>
      <c r="K130" s="98">
        <v>100853</v>
      </c>
      <c r="L130" s="98">
        <v>130561</v>
      </c>
      <c r="M130" s="98">
        <v>171348</v>
      </c>
      <c r="N130" s="98">
        <v>160952</v>
      </c>
      <c r="O130" s="99"/>
      <c r="P130" s="98">
        <v>986991</v>
      </c>
    </row>
    <row r="131" spans="1:17" ht="60.75" thickBot="1" x14ac:dyDescent="0.25">
      <c r="A131" s="101"/>
      <c r="B131" s="100" t="s">
        <v>699</v>
      </c>
      <c r="C131" s="100" t="s">
        <v>699</v>
      </c>
      <c r="D131" s="99"/>
      <c r="E131" s="99"/>
      <c r="F131" s="99"/>
      <c r="G131" s="99"/>
      <c r="H131" s="98">
        <v>100000</v>
      </c>
      <c r="I131" s="99"/>
      <c r="J131" s="99"/>
      <c r="K131" s="99"/>
      <c r="L131" s="98">
        <v>100000</v>
      </c>
      <c r="M131" s="98">
        <v>100000</v>
      </c>
      <c r="N131" s="99"/>
      <c r="O131" s="99"/>
      <c r="P131" s="98">
        <v>300000</v>
      </c>
    </row>
    <row r="132" spans="1:17" ht="30.75" thickBot="1" x14ac:dyDescent="0.25">
      <c r="A132" s="97" t="s">
        <v>780</v>
      </c>
      <c r="B132" s="97"/>
      <c r="C132" s="97"/>
      <c r="D132" s="96"/>
      <c r="E132" s="96"/>
      <c r="F132" s="96"/>
      <c r="G132" s="95">
        <v>320991</v>
      </c>
      <c r="H132" s="95">
        <v>320213</v>
      </c>
      <c r="I132" s="95">
        <v>474815</v>
      </c>
      <c r="J132" s="95">
        <v>658114</v>
      </c>
      <c r="K132" s="95">
        <v>729403</v>
      </c>
      <c r="L132" s="95">
        <v>2022101</v>
      </c>
      <c r="M132" s="95">
        <v>2512107</v>
      </c>
      <c r="N132" s="95">
        <v>664260</v>
      </c>
      <c r="O132" s="95">
        <v>543570</v>
      </c>
      <c r="P132" s="95">
        <v>8245574</v>
      </c>
      <c r="Q132" s="91" t="s">
        <v>706</v>
      </c>
    </row>
    <row r="133" spans="1:17" ht="30.75" thickBot="1" x14ac:dyDescent="0.25">
      <c r="A133" s="101" t="s">
        <v>779</v>
      </c>
      <c r="B133" s="100" t="s">
        <v>718</v>
      </c>
      <c r="C133" s="100" t="s">
        <v>717</v>
      </c>
      <c r="D133" s="99"/>
      <c r="E133" s="99"/>
      <c r="F133" s="99"/>
      <c r="G133" s="99"/>
      <c r="H133" s="99"/>
      <c r="I133" s="99"/>
      <c r="J133" s="99"/>
      <c r="K133" s="99"/>
      <c r="L133" s="98">
        <v>100000</v>
      </c>
      <c r="M133" s="99"/>
      <c r="N133" s="99"/>
      <c r="O133" s="99"/>
      <c r="P133" s="98">
        <v>100000</v>
      </c>
    </row>
    <row r="134" spans="1:17" ht="30.75" thickBot="1" x14ac:dyDescent="0.25">
      <c r="A134" s="101"/>
      <c r="B134" s="100"/>
      <c r="C134" s="100" t="s">
        <v>738</v>
      </c>
      <c r="D134" s="99"/>
      <c r="E134" s="99"/>
      <c r="F134" s="99"/>
      <c r="G134" s="99"/>
      <c r="H134" s="99"/>
      <c r="I134" s="99"/>
      <c r="J134" s="99"/>
      <c r="K134" s="99"/>
      <c r="L134" s="98">
        <v>2989000</v>
      </c>
      <c r="M134" s="99"/>
      <c r="N134" s="99"/>
      <c r="O134" s="99"/>
      <c r="P134" s="98">
        <v>2989000</v>
      </c>
    </row>
    <row r="135" spans="1:17" ht="15.75" thickBot="1" x14ac:dyDescent="0.25">
      <c r="A135" s="101"/>
      <c r="B135" s="100" t="s">
        <v>665</v>
      </c>
      <c r="C135" s="100" t="s">
        <v>665</v>
      </c>
      <c r="D135" s="99"/>
      <c r="E135" s="99"/>
      <c r="F135" s="99"/>
      <c r="G135" s="99"/>
      <c r="H135" s="99"/>
      <c r="I135" s="99"/>
      <c r="J135" s="99"/>
      <c r="K135" s="99"/>
      <c r="L135" s="98">
        <v>41665000</v>
      </c>
      <c r="M135" s="99"/>
      <c r="N135" s="99"/>
      <c r="O135" s="99"/>
      <c r="P135" s="98">
        <v>41665000</v>
      </c>
    </row>
    <row r="136" spans="1:17" ht="15.75" thickBot="1" x14ac:dyDescent="0.25">
      <c r="A136" s="101"/>
      <c r="B136" s="100" t="s">
        <v>703</v>
      </c>
      <c r="C136" s="100" t="s">
        <v>703</v>
      </c>
      <c r="D136" s="99"/>
      <c r="E136" s="99"/>
      <c r="F136" s="99"/>
      <c r="G136" s="98">
        <v>1909717</v>
      </c>
      <c r="H136" s="98">
        <v>1276564</v>
      </c>
      <c r="I136" s="98">
        <v>-470901</v>
      </c>
      <c r="J136" s="98">
        <v>-1449</v>
      </c>
      <c r="K136" s="99"/>
      <c r="L136" s="99"/>
      <c r="M136" s="99"/>
      <c r="N136" s="99"/>
      <c r="O136" s="99"/>
      <c r="P136" s="98">
        <v>2713931</v>
      </c>
    </row>
    <row r="137" spans="1:17" ht="15.75" thickBot="1" x14ac:dyDescent="0.25">
      <c r="A137" s="101"/>
      <c r="B137" s="100" t="s">
        <v>702</v>
      </c>
      <c r="C137" s="100" t="s">
        <v>702</v>
      </c>
      <c r="D137" s="99"/>
      <c r="E137" s="99"/>
      <c r="F137" s="99"/>
      <c r="G137" s="98">
        <v>2030100</v>
      </c>
      <c r="H137" s="98">
        <v>2030100</v>
      </c>
      <c r="I137" s="98">
        <v>4060200</v>
      </c>
      <c r="J137" s="98">
        <v>5000000</v>
      </c>
      <c r="K137" s="98">
        <v>6218380</v>
      </c>
      <c r="L137" s="98">
        <v>6468500</v>
      </c>
      <c r="M137" s="99"/>
      <c r="N137" s="99"/>
      <c r="O137" s="99"/>
      <c r="P137" s="98">
        <v>25807280</v>
      </c>
    </row>
    <row r="138" spans="1:17" ht="15.75" thickBot="1" x14ac:dyDescent="0.25">
      <c r="A138" s="101"/>
      <c r="B138" s="100" t="s">
        <v>701</v>
      </c>
      <c r="C138" s="100" t="s">
        <v>700</v>
      </c>
      <c r="D138" s="99"/>
      <c r="E138" s="99"/>
      <c r="F138" s="99"/>
      <c r="G138" s="99"/>
      <c r="H138" s="99"/>
      <c r="I138" s="99"/>
      <c r="J138" s="99"/>
      <c r="K138" s="99"/>
      <c r="L138" s="98">
        <v>15503724</v>
      </c>
      <c r="M138" s="98">
        <v>25353608</v>
      </c>
      <c r="N138" s="98">
        <v>34732703</v>
      </c>
      <c r="O138" s="98">
        <v>6408184</v>
      </c>
      <c r="P138" s="98">
        <v>81998219</v>
      </c>
    </row>
    <row r="139" spans="1:17" ht="15.75" thickBot="1" x14ac:dyDescent="0.25">
      <c r="A139" s="101"/>
      <c r="B139" s="100"/>
      <c r="C139" s="100" t="s">
        <v>708</v>
      </c>
      <c r="D139" s="99"/>
      <c r="E139" s="99"/>
      <c r="F139" s="99"/>
      <c r="G139" s="99"/>
      <c r="H139" s="99"/>
      <c r="I139" s="99"/>
      <c r="J139" s="99"/>
      <c r="K139" s="99"/>
      <c r="L139" s="99"/>
      <c r="M139" s="99"/>
      <c r="N139" s="98">
        <v>3690322</v>
      </c>
      <c r="O139" s="98">
        <v>7483921</v>
      </c>
      <c r="P139" s="98">
        <v>11174243</v>
      </c>
    </row>
    <row r="140" spans="1:17" ht="45.75" thickBot="1" x14ac:dyDescent="0.25">
      <c r="A140" s="101"/>
      <c r="B140" s="100"/>
      <c r="C140" s="100" t="s">
        <v>720</v>
      </c>
      <c r="D140" s="99"/>
      <c r="E140" s="99"/>
      <c r="F140" s="99"/>
      <c r="G140" s="99"/>
      <c r="H140" s="99"/>
      <c r="I140" s="99"/>
      <c r="J140" s="98">
        <v>6943461</v>
      </c>
      <c r="K140" s="98">
        <v>7739908</v>
      </c>
      <c r="L140" s="98">
        <v>-2787504</v>
      </c>
      <c r="M140" s="98">
        <v>-1538264</v>
      </c>
      <c r="N140" s="99"/>
      <c r="O140" s="99"/>
      <c r="P140" s="98">
        <v>10357601</v>
      </c>
    </row>
    <row r="141" spans="1:17" ht="30.75" thickBot="1" x14ac:dyDescent="0.25">
      <c r="A141" s="101"/>
      <c r="B141" s="100"/>
      <c r="C141" s="100" t="s">
        <v>716</v>
      </c>
      <c r="D141" s="99"/>
      <c r="E141" s="99"/>
      <c r="F141" s="98">
        <v>117151</v>
      </c>
      <c r="G141" s="98">
        <v>1314709</v>
      </c>
      <c r="H141" s="98">
        <v>2556049</v>
      </c>
      <c r="I141" s="98">
        <v>1627327</v>
      </c>
      <c r="J141" s="98">
        <v>1946329</v>
      </c>
      <c r="K141" s="98">
        <v>2706767</v>
      </c>
      <c r="L141" s="98">
        <v>2298549</v>
      </c>
      <c r="M141" s="98">
        <v>803461</v>
      </c>
      <c r="N141" s="98">
        <v>3925866</v>
      </c>
      <c r="O141" s="98">
        <v>-77408</v>
      </c>
      <c r="P141" s="98">
        <v>17218800</v>
      </c>
    </row>
    <row r="142" spans="1:17" ht="60.75" thickBot="1" x14ac:dyDescent="0.25">
      <c r="A142" s="101"/>
      <c r="B142" s="100" t="s">
        <v>699</v>
      </c>
      <c r="C142" s="100" t="s">
        <v>699</v>
      </c>
      <c r="D142" s="99"/>
      <c r="E142" s="99"/>
      <c r="F142" s="98">
        <v>100000</v>
      </c>
      <c r="G142" s="99"/>
      <c r="H142" s="99"/>
      <c r="I142" s="99"/>
      <c r="J142" s="99"/>
      <c r="K142" s="99"/>
      <c r="L142" s="98">
        <v>1714000</v>
      </c>
      <c r="M142" s="99"/>
      <c r="N142" s="99"/>
      <c r="O142" s="99"/>
      <c r="P142" s="98">
        <v>1814000</v>
      </c>
    </row>
    <row r="143" spans="1:17" ht="45.75" thickBot="1" x14ac:dyDescent="0.25">
      <c r="A143" s="97" t="s">
        <v>778</v>
      </c>
      <c r="B143" s="97"/>
      <c r="C143" s="97"/>
      <c r="D143" s="96"/>
      <c r="E143" s="96"/>
      <c r="F143" s="95">
        <v>217151</v>
      </c>
      <c r="G143" s="95">
        <v>5254526</v>
      </c>
      <c r="H143" s="95">
        <v>5862713</v>
      </c>
      <c r="I143" s="95">
        <v>5216626</v>
      </c>
      <c r="J143" s="95">
        <v>13888341</v>
      </c>
      <c r="K143" s="95">
        <v>16665055</v>
      </c>
      <c r="L143" s="95">
        <v>67951269</v>
      </c>
      <c r="M143" s="95">
        <v>24618804</v>
      </c>
      <c r="N143" s="95">
        <v>42348891</v>
      </c>
      <c r="O143" s="95">
        <v>13814697</v>
      </c>
      <c r="P143" s="95">
        <v>195838074</v>
      </c>
      <c r="Q143" s="91" t="s">
        <v>617</v>
      </c>
    </row>
    <row r="144" spans="1:17" ht="30.75" thickBot="1" x14ac:dyDescent="0.25">
      <c r="A144" s="101" t="s">
        <v>53</v>
      </c>
      <c r="B144" s="100" t="s">
        <v>665</v>
      </c>
      <c r="C144" s="100" t="s">
        <v>665</v>
      </c>
      <c r="D144" s="99"/>
      <c r="E144" s="99"/>
      <c r="F144" s="99"/>
      <c r="G144" s="99"/>
      <c r="H144" s="99"/>
      <c r="I144" s="99"/>
      <c r="J144" s="99"/>
      <c r="K144" s="99"/>
      <c r="L144" s="98">
        <v>1790000</v>
      </c>
      <c r="M144" s="99"/>
      <c r="N144" s="99"/>
      <c r="O144" s="99"/>
      <c r="P144" s="98">
        <v>1790000</v>
      </c>
    </row>
    <row r="145" spans="1:17" ht="15.75" thickBot="1" x14ac:dyDescent="0.25">
      <c r="A145" s="101"/>
      <c r="B145" s="100" t="s">
        <v>703</v>
      </c>
      <c r="C145" s="100" t="s">
        <v>703</v>
      </c>
      <c r="D145" s="99"/>
      <c r="E145" s="99"/>
      <c r="F145" s="99"/>
      <c r="G145" s="99"/>
      <c r="H145" s="99"/>
      <c r="I145" s="99"/>
      <c r="J145" s="99"/>
      <c r="K145" s="98">
        <v>233309</v>
      </c>
      <c r="L145" s="98">
        <v>436683</v>
      </c>
      <c r="M145" s="98">
        <v>127997</v>
      </c>
      <c r="N145" s="99"/>
      <c r="O145" s="99"/>
      <c r="P145" s="98">
        <v>797989</v>
      </c>
    </row>
    <row r="146" spans="1:17" ht="15.75" thickBot="1" x14ac:dyDescent="0.25">
      <c r="A146" s="101"/>
      <c r="B146" s="100" t="s">
        <v>702</v>
      </c>
      <c r="C146" s="100" t="s">
        <v>702</v>
      </c>
      <c r="D146" s="99"/>
      <c r="E146" s="98">
        <v>513000</v>
      </c>
      <c r="F146" s="99"/>
      <c r="G146" s="98">
        <v>513000</v>
      </c>
      <c r="H146" s="98">
        <v>513000</v>
      </c>
      <c r="I146" s="98">
        <v>513000</v>
      </c>
      <c r="J146" s="99"/>
      <c r="K146" s="98">
        <v>1171000</v>
      </c>
      <c r="L146" s="98">
        <v>596500</v>
      </c>
      <c r="M146" s="99"/>
      <c r="N146" s="99"/>
      <c r="O146" s="99"/>
      <c r="P146" s="98">
        <v>3819500</v>
      </c>
    </row>
    <row r="147" spans="1:17" ht="15.75" thickBot="1" x14ac:dyDescent="0.25">
      <c r="A147" s="101"/>
      <c r="B147" s="100" t="s">
        <v>701</v>
      </c>
      <c r="C147" s="100" t="s">
        <v>700</v>
      </c>
      <c r="D147" s="99"/>
      <c r="E147" s="99"/>
      <c r="F147" s="99"/>
      <c r="G147" s="99"/>
      <c r="H147" s="99"/>
      <c r="I147" s="99"/>
      <c r="J147" s="99"/>
      <c r="K147" s="99"/>
      <c r="L147" s="98">
        <v>6958268</v>
      </c>
      <c r="M147" s="98">
        <v>6368749</v>
      </c>
      <c r="N147" s="98">
        <v>2385115</v>
      </c>
      <c r="O147" s="98">
        <v>171813</v>
      </c>
      <c r="P147" s="98">
        <v>15883945</v>
      </c>
    </row>
    <row r="148" spans="1:17" ht="45.75" thickBot="1" x14ac:dyDescent="0.25">
      <c r="A148" s="101"/>
      <c r="B148" s="100"/>
      <c r="C148" s="100" t="s">
        <v>720</v>
      </c>
      <c r="D148" s="99"/>
      <c r="E148" s="98">
        <v>1844082</v>
      </c>
      <c r="F148" s="98">
        <v>1416121</v>
      </c>
      <c r="G148" s="98">
        <v>1572062</v>
      </c>
      <c r="H148" s="98">
        <v>872981</v>
      </c>
      <c r="I148" s="98">
        <v>1857588</v>
      </c>
      <c r="J148" s="98">
        <v>2545065</v>
      </c>
      <c r="K148" s="98">
        <v>2789085</v>
      </c>
      <c r="L148" s="98">
        <v>-659900</v>
      </c>
      <c r="M148" s="98">
        <v>-857679</v>
      </c>
      <c r="N148" s="99"/>
      <c r="O148" s="99"/>
      <c r="P148" s="98">
        <v>11379406</v>
      </c>
    </row>
    <row r="149" spans="1:17" ht="60.75" thickBot="1" x14ac:dyDescent="0.25">
      <c r="A149" s="101"/>
      <c r="B149" s="100" t="s">
        <v>699</v>
      </c>
      <c r="C149" s="100" t="s">
        <v>699</v>
      </c>
      <c r="D149" s="99"/>
      <c r="E149" s="99"/>
      <c r="F149" s="98">
        <v>100000</v>
      </c>
      <c r="G149" s="99"/>
      <c r="H149" s="99"/>
      <c r="I149" s="99"/>
      <c r="J149" s="99"/>
      <c r="K149" s="99"/>
      <c r="L149" s="98">
        <v>188500</v>
      </c>
      <c r="M149" s="99"/>
      <c r="N149" s="99"/>
      <c r="O149" s="99"/>
      <c r="P149" s="98">
        <v>288500</v>
      </c>
    </row>
    <row r="150" spans="1:17" ht="45.75" thickBot="1" x14ac:dyDescent="0.25">
      <c r="A150" s="97" t="s">
        <v>777</v>
      </c>
      <c r="B150" s="97"/>
      <c r="C150" s="97"/>
      <c r="D150" s="96"/>
      <c r="E150" s="95">
        <v>2357082</v>
      </c>
      <c r="F150" s="95">
        <v>1516121</v>
      </c>
      <c r="G150" s="95">
        <v>2085062</v>
      </c>
      <c r="H150" s="95">
        <v>1385981</v>
      </c>
      <c r="I150" s="95">
        <v>2370588</v>
      </c>
      <c r="J150" s="95">
        <v>2545065</v>
      </c>
      <c r="K150" s="95">
        <v>4193394</v>
      </c>
      <c r="L150" s="95">
        <v>9310051</v>
      </c>
      <c r="M150" s="95">
        <v>5639067</v>
      </c>
      <c r="N150" s="95">
        <v>2385115</v>
      </c>
      <c r="O150" s="95">
        <v>171813</v>
      </c>
      <c r="P150" s="95">
        <v>33959340</v>
      </c>
      <c r="Q150" s="91" t="s">
        <v>706</v>
      </c>
    </row>
    <row r="151" spans="1:17" ht="15.75" thickBot="1" x14ac:dyDescent="0.25">
      <c r="A151" s="101" t="s">
        <v>202</v>
      </c>
      <c r="B151" s="100" t="s">
        <v>703</v>
      </c>
      <c r="C151" s="100" t="s">
        <v>703</v>
      </c>
      <c r="D151" s="99"/>
      <c r="E151" s="99"/>
      <c r="F151" s="99"/>
      <c r="G151" s="99"/>
      <c r="H151" s="99"/>
      <c r="I151" s="98">
        <v>170500</v>
      </c>
      <c r="J151" s="99"/>
      <c r="K151" s="99"/>
      <c r="L151" s="99"/>
      <c r="M151" s="98">
        <v>189500</v>
      </c>
      <c r="N151" s="99"/>
      <c r="O151" s="99"/>
      <c r="P151" s="98">
        <v>360000</v>
      </c>
    </row>
    <row r="152" spans="1:17" ht="30.75" thickBot="1" x14ac:dyDescent="0.25">
      <c r="A152" s="97" t="s">
        <v>776</v>
      </c>
      <c r="B152" s="97"/>
      <c r="C152" s="97"/>
      <c r="D152" s="96"/>
      <c r="E152" s="96"/>
      <c r="F152" s="96"/>
      <c r="G152" s="96"/>
      <c r="H152" s="96"/>
      <c r="I152" s="95">
        <v>170500</v>
      </c>
      <c r="J152" s="96"/>
      <c r="K152" s="96"/>
      <c r="L152" s="96"/>
      <c r="M152" s="95">
        <v>189500</v>
      </c>
      <c r="N152" s="96"/>
      <c r="O152" s="96"/>
      <c r="P152" s="95">
        <v>360000</v>
      </c>
      <c r="Q152" s="91" t="s">
        <v>706</v>
      </c>
    </row>
    <row r="153" spans="1:17" ht="15.75" thickBot="1" x14ac:dyDescent="0.25">
      <c r="A153" s="101" t="s">
        <v>52</v>
      </c>
      <c r="B153" s="100" t="s">
        <v>703</v>
      </c>
      <c r="C153" s="100" t="s">
        <v>703</v>
      </c>
      <c r="D153" s="99"/>
      <c r="E153" s="99"/>
      <c r="F153" s="99"/>
      <c r="G153" s="98">
        <v>11100</v>
      </c>
      <c r="H153" s="98">
        <v>12000</v>
      </c>
      <c r="I153" s="98">
        <v>10800</v>
      </c>
      <c r="J153" s="99"/>
      <c r="K153" s="99"/>
      <c r="L153" s="99"/>
      <c r="M153" s="99"/>
      <c r="N153" s="99"/>
      <c r="O153" s="99"/>
      <c r="P153" s="98">
        <v>33900</v>
      </c>
    </row>
    <row r="154" spans="1:17" ht="15.75" thickBot="1" x14ac:dyDescent="0.25">
      <c r="A154" s="101"/>
      <c r="B154" s="100" t="s">
        <v>702</v>
      </c>
      <c r="C154" s="100" t="s">
        <v>702</v>
      </c>
      <c r="D154" s="99"/>
      <c r="E154" s="99"/>
      <c r="F154" s="99"/>
      <c r="G154" s="98">
        <v>28200</v>
      </c>
      <c r="H154" s="98">
        <v>28200</v>
      </c>
      <c r="I154" s="98">
        <v>56400</v>
      </c>
      <c r="J154" s="99"/>
      <c r="K154" s="99"/>
      <c r="L154" s="99"/>
      <c r="M154" s="99"/>
      <c r="N154" s="99"/>
      <c r="O154" s="99"/>
      <c r="P154" s="98">
        <v>112800</v>
      </c>
    </row>
    <row r="155" spans="1:17" ht="15.75" thickBot="1" x14ac:dyDescent="0.25">
      <c r="A155" s="101"/>
      <c r="B155" s="100" t="s">
        <v>701</v>
      </c>
      <c r="C155" s="100" t="s">
        <v>700</v>
      </c>
      <c r="D155" s="99"/>
      <c r="E155" s="99"/>
      <c r="F155" s="99"/>
      <c r="G155" s="99"/>
      <c r="H155" s="99"/>
      <c r="I155" s="99"/>
      <c r="J155" s="99"/>
      <c r="K155" s="98">
        <v>162364</v>
      </c>
      <c r="L155" s="98">
        <v>221202</v>
      </c>
      <c r="M155" s="98">
        <v>222444</v>
      </c>
      <c r="N155" s="98">
        <v>246487</v>
      </c>
      <c r="O155" s="99"/>
      <c r="P155" s="98">
        <v>852497</v>
      </c>
    </row>
    <row r="156" spans="1:17" ht="60.75" thickBot="1" x14ac:dyDescent="0.25">
      <c r="A156" s="101"/>
      <c r="B156" s="100" t="s">
        <v>699</v>
      </c>
      <c r="C156" s="100" t="s">
        <v>699</v>
      </c>
      <c r="D156" s="99"/>
      <c r="E156" s="99"/>
      <c r="F156" s="99"/>
      <c r="G156" s="99"/>
      <c r="H156" s="99"/>
      <c r="I156" s="99"/>
      <c r="J156" s="99"/>
      <c r="K156" s="98">
        <v>100000</v>
      </c>
      <c r="L156" s="99"/>
      <c r="M156" s="99"/>
      <c r="N156" s="99"/>
      <c r="O156" s="99"/>
      <c r="P156" s="98">
        <v>100000</v>
      </c>
    </row>
    <row r="157" spans="1:17" ht="30.75" thickBot="1" x14ac:dyDescent="0.25">
      <c r="A157" s="97" t="s">
        <v>775</v>
      </c>
      <c r="B157" s="97"/>
      <c r="C157" s="97"/>
      <c r="D157" s="96"/>
      <c r="E157" s="96"/>
      <c r="F157" s="96"/>
      <c r="G157" s="95">
        <v>39300</v>
      </c>
      <c r="H157" s="95">
        <v>40200</v>
      </c>
      <c r="I157" s="95">
        <v>67200</v>
      </c>
      <c r="J157" s="96"/>
      <c r="K157" s="95">
        <v>262364</v>
      </c>
      <c r="L157" s="95">
        <v>221202</v>
      </c>
      <c r="M157" s="95">
        <v>222444</v>
      </c>
      <c r="N157" s="95">
        <v>246487</v>
      </c>
      <c r="O157" s="96"/>
      <c r="P157" s="95">
        <v>1099197</v>
      </c>
      <c r="Q157" s="91" t="s">
        <v>706</v>
      </c>
    </row>
    <row r="158" spans="1:17" ht="15.75" thickBot="1" x14ac:dyDescent="0.25">
      <c r="A158" s="101" t="s">
        <v>96</v>
      </c>
      <c r="B158" s="100" t="s">
        <v>665</v>
      </c>
      <c r="C158" s="100" t="s">
        <v>665</v>
      </c>
      <c r="D158" s="99"/>
      <c r="E158" s="99"/>
      <c r="F158" s="99"/>
      <c r="G158" s="99"/>
      <c r="H158" s="99"/>
      <c r="I158" s="99"/>
      <c r="J158" s="99"/>
      <c r="K158" s="99"/>
      <c r="L158" s="99"/>
      <c r="M158" s="99"/>
      <c r="N158" s="98">
        <v>664000</v>
      </c>
      <c r="O158" s="99"/>
      <c r="P158" s="98">
        <v>664000</v>
      </c>
    </row>
    <row r="159" spans="1:17" ht="15.75" thickBot="1" x14ac:dyDescent="0.25">
      <c r="A159" s="101"/>
      <c r="B159" s="100" t="s">
        <v>703</v>
      </c>
      <c r="C159" s="100" t="s">
        <v>703</v>
      </c>
      <c r="D159" s="99"/>
      <c r="E159" s="99"/>
      <c r="F159" s="99"/>
      <c r="G159" s="98">
        <v>50947</v>
      </c>
      <c r="H159" s="98">
        <v>45603</v>
      </c>
      <c r="I159" s="98">
        <v>50084</v>
      </c>
      <c r="J159" s="99"/>
      <c r="K159" s="98">
        <v>1395</v>
      </c>
      <c r="L159" s="99"/>
      <c r="M159" s="99"/>
      <c r="N159" s="99"/>
      <c r="O159" s="99"/>
      <c r="P159" s="98">
        <v>148029</v>
      </c>
    </row>
    <row r="160" spans="1:17" ht="15.75" thickBot="1" x14ac:dyDescent="0.25">
      <c r="A160" s="101"/>
      <c r="B160" s="100" t="s">
        <v>702</v>
      </c>
      <c r="C160" s="100" t="s">
        <v>702</v>
      </c>
      <c r="D160" s="99"/>
      <c r="E160" s="99"/>
      <c r="F160" s="98">
        <v>39300</v>
      </c>
      <c r="G160" s="98">
        <v>39300</v>
      </c>
      <c r="H160" s="98">
        <v>39300</v>
      </c>
      <c r="I160" s="98">
        <v>107200</v>
      </c>
      <c r="J160" s="98">
        <v>81940</v>
      </c>
      <c r="K160" s="98">
        <v>129500</v>
      </c>
      <c r="L160" s="99"/>
      <c r="M160" s="99"/>
      <c r="N160" s="99"/>
      <c r="O160" s="99"/>
      <c r="P160" s="98">
        <v>436540</v>
      </c>
    </row>
    <row r="161" spans="1:17" ht="15.75" thickBot="1" x14ac:dyDescent="0.25">
      <c r="A161" s="101"/>
      <c r="B161" s="100" t="s">
        <v>701</v>
      </c>
      <c r="C161" s="100" t="s">
        <v>700</v>
      </c>
      <c r="D161" s="99"/>
      <c r="E161" s="99"/>
      <c r="F161" s="99"/>
      <c r="G161" s="99"/>
      <c r="H161" s="99"/>
      <c r="I161" s="99"/>
      <c r="J161" s="99"/>
      <c r="K161" s="98">
        <v>1098851</v>
      </c>
      <c r="L161" s="98">
        <v>520943</v>
      </c>
      <c r="M161" s="98">
        <v>694162</v>
      </c>
      <c r="N161" s="98">
        <v>1148729</v>
      </c>
      <c r="O161" s="99"/>
      <c r="P161" s="98">
        <v>3462685</v>
      </c>
    </row>
    <row r="162" spans="1:17" ht="45.75" thickBot="1" x14ac:dyDescent="0.25">
      <c r="A162" s="101"/>
      <c r="B162" s="100"/>
      <c r="C162" s="100" t="s">
        <v>720</v>
      </c>
      <c r="D162" s="99"/>
      <c r="E162" s="98">
        <v>941949</v>
      </c>
      <c r="F162" s="98">
        <v>308362</v>
      </c>
      <c r="G162" s="98">
        <v>447137</v>
      </c>
      <c r="H162" s="99"/>
      <c r="I162" s="98">
        <v>-18072</v>
      </c>
      <c r="J162" s="98">
        <v>326355</v>
      </c>
      <c r="K162" s="98">
        <v>306946</v>
      </c>
      <c r="L162" s="99"/>
      <c r="M162" s="99"/>
      <c r="N162" s="99"/>
      <c r="O162" s="99"/>
      <c r="P162" s="98">
        <v>2312677</v>
      </c>
    </row>
    <row r="163" spans="1:17" ht="60.75" thickBot="1" x14ac:dyDescent="0.25">
      <c r="A163" s="101"/>
      <c r="B163" s="100" t="s">
        <v>699</v>
      </c>
      <c r="C163" s="100" t="s">
        <v>699</v>
      </c>
      <c r="D163" s="99"/>
      <c r="E163" s="99"/>
      <c r="F163" s="98">
        <v>100000</v>
      </c>
      <c r="G163" s="99"/>
      <c r="H163" s="99"/>
      <c r="I163" s="99"/>
      <c r="J163" s="99"/>
      <c r="K163" s="98">
        <v>100000</v>
      </c>
      <c r="L163" s="99"/>
      <c r="M163" s="99"/>
      <c r="N163" s="99"/>
      <c r="O163" s="99"/>
      <c r="P163" s="98">
        <v>200000</v>
      </c>
    </row>
    <row r="164" spans="1:17" ht="30.75" thickBot="1" x14ac:dyDescent="0.25">
      <c r="A164" s="97" t="s">
        <v>774</v>
      </c>
      <c r="B164" s="97"/>
      <c r="C164" s="97"/>
      <c r="D164" s="96"/>
      <c r="E164" s="95">
        <v>941949</v>
      </c>
      <c r="F164" s="95">
        <v>447662</v>
      </c>
      <c r="G164" s="95">
        <v>537384</v>
      </c>
      <c r="H164" s="95">
        <v>84903</v>
      </c>
      <c r="I164" s="95">
        <v>139212</v>
      </c>
      <c r="J164" s="95">
        <v>408295</v>
      </c>
      <c r="K164" s="95">
        <v>1636692</v>
      </c>
      <c r="L164" s="95">
        <v>520943</v>
      </c>
      <c r="M164" s="95">
        <v>694162</v>
      </c>
      <c r="N164" s="95">
        <v>1812729</v>
      </c>
      <c r="O164" s="96"/>
      <c r="P164" s="95">
        <v>7223930</v>
      </c>
      <c r="Q164" s="91" t="s">
        <v>617</v>
      </c>
    </row>
    <row r="165" spans="1:17" ht="30.75" thickBot="1" x14ac:dyDescent="0.25">
      <c r="A165" s="101" t="s">
        <v>95</v>
      </c>
      <c r="B165" s="100" t="s">
        <v>718</v>
      </c>
      <c r="C165" s="100" t="s">
        <v>717</v>
      </c>
      <c r="D165" s="99"/>
      <c r="E165" s="99"/>
      <c r="F165" s="99"/>
      <c r="G165" s="99"/>
      <c r="H165" s="99"/>
      <c r="I165" s="99"/>
      <c r="J165" s="99"/>
      <c r="K165" s="99"/>
      <c r="L165" s="98">
        <v>100000</v>
      </c>
      <c r="M165" s="99"/>
      <c r="N165" s="99"/>
      <c r="O165" s="99"/>
      <c r="P165" s="98">
        <v>100000</v>
      </c>
    </row>
    <row r="166" spans="1:17" ht="30.75" thickBot="1" x14ac:dyDescent="0.25">
      <c r="A166" s="101"/>
      <c r="B166" s="100"/>
      <c r="C166" s="100" t="s">
        <v>738</v>
      </c>
      <c r="D166" s="99"/>
      <c r="E166" s="99"/>
      <c r="F166" s="99"/>
      <c r="G166" s="99"/>
      <c r="H166" s="99"/>
      <c r="I166" s="99"/>
      <c r="J166" s="99"/>
      <c r="K166" s="99"/>
      <c r="L166" s="99"/>
      <c r="M166" s="98">
        <v>1983500</v>
      </c>
      <c r="N166" s="99"/>
      <c r="O166" s="99"/>
      <c r="P166" s="98">
        <v>1983500</v>
      </c>
    </row>
    <row r="167" spans="1:17" ht="15.75" thickBot="1" x14ac:dyDescent="0.25">
      <c r="A167" s="101"/>
      <c r="B167" s="100" t="s">
        <v>665</v>
      </c>
      <c r="C167" s="100" t="s">
        <v>665</v>
      </c>
      <c r="D167" s="99"/>
      <c r="E167" s="99"/>
      <c r="F167" s="99"/>
      <c r="G167" s="99"/>
      <c r="H167" s="99"/>
      <c r="I167" s="99"/>
      <c r="J167" s="99"/>
      <c r="K167" s="98">
        <v>68840803</v>
      </c>
      <c r="L167" s="99"/>
      <c r="M167" s="98">
        <v>7653132</v>
      </c>
      <c r="N167" s="99"/>
      <c r="O167" s="99"/>
      <c r="P167" s="98">
        <v>76493935</v>
      </c>
    </row>
    <row r="168" spans="1:17" ht="15.75" thickBot="1" x14ac:dyDescent="0.25">
      <c r="A168" s="101"/>
      <c r="B168" s="100" t="s">
        <v>703</v>
      </c>
      <c r="C168" s="100" t="s">
        <v>703</v>
      </c>
      <c r="D168" s="99"/>
      <c r="E168" s="99"/>
      <c r="F168" s="98">
        <v>2255014</v>
      </c>
      <c r="G168" s="98">
        <v>984917</v>
      </c>
      <c r="H168" s="99"/>
      <c r="I168" s="98">
        <v>-543234</v>
      </c>
      <c r="J168" s="99"/>
      <c r="K168" s="99"/>
      <c r="L168" s="99"/>
      <c r="M168" s="99"/>
      <c r="N168" s="99"/>
      <c r="O168" s="99"/>
      <c r="P168" s="98">
        <v>2696697</v>
      </c>
    </row>
    <row r="169" spans="1:17" ht="15.75" thickBot="1" x14ac:dyDescent="0.25">
      <c r="A169" s="101"/>
      <c r="B169" s="100" t="s">
        <v>702</v>
      </c>
      <c r="C169" s="100" t="s">
        <v>702</v>
      </c>
      <c r="D169" s="99"/>
      <c r="E169" s="99"/>
      <c r="F169" s="98">
        <v>964000</v>
      </c>
      <c r="G169" s="98">
        <v>964000</v>
      </c>
      <c r="H169" s="98">
        <v>1928000</v>
      </c>
      <c r="I169" s="99"/>
      <c r="J169" s="98">
        <v>4697677</v>
      </c>
      <c r="K169" s="98">
        <v>4715643</v>
      </c>
      <c r="L169" s="98">
        <v>2549500</v>
      </c>
      <c r="M169" s="98">
        <v>1994500</v>
      </c>
      <c r="N169" s="99"/>
      <c r="O169" s="99"/>
      <c r="P169" s="98">
        <v>17813320</v>
      </c>
    </row>
    <row r="170" spans="1:17" ht="15.75" thickBot="1" x14ac:dyDescent="0.25">
      <c r="A170" s="101"/>
      <c r="B170" s="100" t="s">
        <v>701</v>
      </c>
      <c r="C170" s="100" t="s">
        <v>700</v>
      </c>
      <c r="D170" s="99"/>
      <c r="E170" s="99"/>
      <c r="F170" s="99"/>
      <c r="G170" s="99"/>
      <c r="H170" s="99"/>
      <c r="I170" s="99"/>
      <c r="J170" s="98">
        <v>12274352</v>
      </c>
      <c r="K170" s="98">
        <v>36554942</v>
      </c>
      <c r="L170" s="98">
        <v>32790795</v>
      </c>
      <c r="M170" s="98">
        <v>26136155</v>
      </c>
      <c r="N170" s="98">
        <v>19872442</v>
      </c>
      <c r="O170" s="98">
        <v>353074</v>
      </c>
      <c r="P170" s="98">
        <v>127981760</v>
      </c>
    </row>
    <row r="171" spans="1:17" ht="60.75" thickBot="1" x14ac:dyDescent="0.25">
      <c r="A171" s="101"/>
      <c r="B171" s="100" t="s">
        <v>699</v>
      </c>
      <c r="C171" s="100" t="s">
        <v>699</v>
      </c>
      <c r="D171" s="99"/>
      <c r="E171" s="99"/>
      <c r="F171" s="99"/>
      <c r="G171" s="99"/>
      <c r="H171" s="99"/>
      <c r="I171" s="98">
        <v>100000</v>
      </c>
      <c r="J171" s="99"/>
      <c r="K171" s="99"/>
      <c r="L171" s="99"/>
      <c r="M171" s="99"/>
      <c r="N171" s="99"/>
      <c r="O171" s="99"/>
      <c r="P171" s="98">
        <v>100000</v>
      </c>
    </row>
    <row r="172" spans="1:17" ht="30.75" thickBot="1" x14ac:dyDescent="0.25">
      <c r="A172" s="97" t="s">
        <v>773</v>
      </c>
      <c r="B172" s="97"/>
      <c r="C172" s="97"/>
      <c r="D172" s="96"/>
      <c r="E172" s="96"/>
      <c r="F172" s="95">
        <v>3219014</v>
      </c>
      <c r="G172" s="95">
        <v>1948917</v>
      </c>
      <c r="H172" s="95">
        <v>1928000</v>
      </c>
      <c r="I172" s="95">
        <v>-443234</v>
      </c>
      <c r="J172" s="95">
        <v>16972029</v>
      </c>
      <c r="K172" s="95">
        <v>110111388</v>
      </c>
      <c r="L172" s="95">
        <v>35440295</v>
      </c>
      <c r="M172" s="95">
        <v>37767287</v>
      </c>
      <c r="N172" s="95">
        <v>19872442</v>
      </c>
      <c r="O172" s="95">
        <v>353074</v>
      </c>
      <c r="P172" s="95">
        <v>227169213</v>
      </c>
      <c r="Q172" s="91" t="s">
        <v>617</v>
      </c>
    </row>
    <row r="173" spans="1:17" ht="15.75" thickBot="1" x14ac:dyDescent="0.25">
      <c r="A173" s="101" t="s">
        <v>187</v>
      </c>
      <c r="B173" s="100" t="s">
        <v>703</v>
      </c>
      <c r="C173" s="100" t="s">
        <v>703</v>
      </c>
      <c r="D173" s="99"/>
      <c r="E173" s="99"/>
      <c r="F173" s="98">
        <v>97645</v>
      </c>
      <c r="G173" s="98">
        <v>26738</v>
      </c>
      <c r="H173" s="99"/>
      <c r="I173" s="98">
        <v>-23199</v>
      </c>
      <c r="J173" s="99"/>
      <c r="K173" s="99"/>
      <c r="L173" s="99"/>
      <c r="M173" s="99"/>
      <c r="N173" s="99"/>
      <c r="O173" s="99"/>
      <c r="P173" s="98">
        <v>101184</v>
      </c>
    </row>
    <row r="174" spans="1:17" ht="15.75" thickBot="1" x14ac:dyDescent="0.25">
      <c r="A174" s="101"/>
      <c r="B174" s="100" t="s">
        <v>702</v>
      </c>
      <c r="C174" s="100" t="s">
        <v>702</v>
      </c>
      <c r="D174" s="99"/>
      <c r="E174" s="98">
        <v>32300</v>
      </c>
      <c r="F174" s="99"/>
      <c r="G174" s="98">
        <v>32300</v>
      </c>
      <c r="H174" s="98">
        <v>64600</v>
      </c>
      <c r="I174" s="98">
        <v>237100</v>
      </c>
      <c r="J174" s="99"/>
      <c r="K174" s="98">
        <v>91500</v>
      </c>
      <c r="L174" s="98">
        <v>87500</v>
      </c>
      <c r="M174" s="99"/>
      <c r="N174" s="99"/>
      <c r="O174" s="99"/>
      <c r="P174" s="98">
        <v>545300</v>
      </c>
    </row>
    <row r="175" spans="1:17" ht="30.75" thickBot="1" x14ac:dyDescent="0.25">
      <c r="A175" s="101"/>
      <c r="B175" s="100" t="s">
        <v>701</v>
      </c>
      <c r="C175" s="100" t="s">
        <v>710</v>
      </c>
      <c r="D175" s="99"/>
      <c r="E175" s="99"/>
      <c r="F175" s="98">
        <v>106475</v>
      </c>
      <c r="G175" s="99"/>
      <c r="H175" s="98">
        <v>32928</v>
      </c>
      <c r="I175" s="98">
        <v>211385</v>
      </c>
      <c r="J175" s="98">
        <v>-12527</v>
      </c>
      <c r="K175" s="98">
        <v>114251</v>
      </c>
      <c r="L175" s="98">
        <v>27504</v>
      </c>
      <c r="M175" s="98">
        <v>-24039</v>
      </c>
      <c r="N175" s="99"/>
      <c r="O175" s="99"/>
      <c r="P175" s="98">
        <v>455977</v>
      </c>
    </row>
    <row r="176" spans="1:17" ht="30.75" thickBot="1" x14ac:dyDescent="0.25">
      <c r="A176" s="101"/>
      <c r="B176" s="100"/>
      <c r="C176" s="100" t="s">
        <v>772</v>
      </c>
      <c r="D176" s="99"/>
      <c r="E176" s="99"/>
      <c r="F176" s="98">
        <v>410021</v>
      </c>
      <c r="G176" s="99"/>
      <c r="H176" s="99"/>
      <c r="I176" s="99"/>
      <c r="J176" s="99"/>
      <c r="K176" s="99"/>
      <c r="L176" s="99"/>
      <c r="M176" s="99"/>
      <c r="N176" s="99"/>
      <c r="O176" s="99"/>
      <c r="P176" s="98">
        <v>410021</v>
      </c>
    </row>
    <row r="177" spans="1:17" ht="15.75" thickBot="1" x14ac:dyDescent="0.25">
      <c r="A177" s="101"/>
      <c r="B177" s="100"/>
      <c r="C177" s="100" t="s">
        <v>700</v>
      </c>
      <c r="D177" s="99"/>
      <c r="E177" s="99"/>
      <c r="F177" s="99"/>
      <c r="G177" s="99"/>
      <c r="H177" s="99"/>
      <c r="I177" s="99"/>
      <c r="J177" s="99"/>
      <c r="K177" s="99"/>
      <c r="L177" s="98">
        <v>461339</v>
      </c>
      <c r="M177" s="98">
        <v>464186</v>
      </c>
      <c r="N177" s="98">
        <v>1049707</v>
      </c>
      <c r="O177" s="98">
        <v>-4160</v>
      </c>
      <c r="P177" s="98">
        <v>1971072</v>
      </c>
    </row>
    <row r="178" spans="1:17" ht="15.75" thickBot="1" x14ac:dyDescent="0.25">
      <c r="A178" s="101"/>
      <c r="B178" s="100"/>
      <c r="C178" s="100" t="s">
        <v>708</v>
      </c>
      <c r="D178" s="99"/>
      <c r="E178" s="99"/>
      <c r="F178" s="99"/>
      <c r="G178" s="99"/>
      <c r="H178" s="99"/>
      <c r="I178" s="99"/>
      <c r="J178" s="99"/>
      <c r="K178" s="99"/>
      <c r="L178" s="99"/>
      <c r="M178" s="98">
        <v>137545</v>
      </c>
      <c r="N178" s="98">
        <v>683571</v>
      </c>
      <c r="O178" s="98">
        <v>25200</v>
      </c>
      <c r="P178" s="98">
        <v>846316</v>
      </c>
    </row>
    <row r="179" spans="1:17" ht="30.75" thickBot="1" x14ac:dyDescent="0.25">
      <c r="A179" s="101"/>
      <c r="B179" s="100"/>
      <c r="C179" s="100" t="s">
        <v>705</v>
      </c>
      <c r="D179" s="99"/>
      <c r="E179" s="99"/>
      <c r="F179" s="98">
        <v>144045</v>
      </c>
      <c r="G179" s="98">
        <v>422330</v>
      </c>
      <c r="H179" s="98">
        <v>578348</v>
      </c>
      <c r="I179" s="98">
        <v>1490071</v>
      </c>
      <c r="J179" s="99"/>
      <c r="K179" s="98">
        <v>993813</v>
      </c>
      <c r="L179" s="98">
        <v>309465</v>
      </c>
      <c r="M179" s="98">
        <v>-262389</v>
      </c>
      <c r="N179" s="99"/>
      <c r="O179" s="99"/>
      <c r="P179" s="98">
        <v>3675683</v>
      </c>
    </row>
    <row r="180" spans="1:17" ht="60.75" thickBot="1" x14ac:dyDescent="0.25">
      <c r="A180" s="101"/>
      <c r="B180" s="100" t="s">
        <v>699</v>
      </c>
      <c r="C180" s="100" t="s">
        <v>699</v>
      </c>
      <c r="D180" s="99"/>
      <c r="E180" s="99"/>
      <c r="F180" s="98">
        <v>100000</v>
      </c>
      <c r="G180" s="99"/>
      <c r="H180" s="99"/>
      <c r="I180" s="99"/>
      <c r="J180" s="99"/>
      <c r="K180" s="99"/>
      <c r="L180" s="98">
        <v>100000</v>
      </c>
      <c r="M180" s="98">
        <v>506250</v>
      </c>
      <c r="N180" s="99"/>
      <c r="O180" s="99"/>
      <c r="P180" s="98">
        <v>706250</v>
      </c>
    </row>
    <row r="181" spans="1:17" ht="30.75" thickBot="1" x14ac:dyDescent="0.25">
      <c r="A181" s="97" t="s">
        <v>771</v>
      </c>
      <c r="B181" s="97"/>
      <c r="C181" s="97"/>
      <c r="D181" s="96"/>
      <c r="E181" s="95">
        <v>32300</v>
      </c>
      <c r="F181" s="95">
        <v>858186</v>
      </c>
      <c r="G181" s="95">
        <v>481368</v>
      </c>
      <c r="H181" s="95">
        <v>675876</v>
      </c>
      <c r="I181" s="95">
        <v>1915358</v>
      </c>
      <c r="J181" s="95">
        <v>-12527</v>
      </c>
      <c r="K181" s="95">
        <v>1199564</v>
      </c>
      <c r="L181" s="95">
        <v>985808</v>
      </c>
      <c r="M181" s="95">
        <v>821554</v>
      </c>
      <c r="N181" s="95">
        <v>1733278</v>
      </c>
      <c r="O181" s="95">
        <v>21040</v>
      </c>
      <c r="P181" s="95">
        <v>8711803</v>
      </c>
      <c r="Q181" s="91" t="s">
        <v>617</v>
      </c>
    </row>
    <row r="182" spans="1:17" ht="30.75" thickBot="1" x14ac:dyDescent="0.25">
      <c r="A182" s="101" t="s">
        <v>48</v>
      </c>
      <c r="B182" s="100" t="s">
        <v>718</v>
      </c>
      <c r="C182" s="100" t="s">
        <v>717</v>
      </c>
      <c r="D182" s="99"/>
      <c r="E182" s="99"/>
      <c r="F182" s="99"/>
      <c r="G182" s="99"/>
      <c r="H182" s="99"/>
      <c r="I182" s="99"/>
      <c r="J182" s="99"/>
      <c r="K182" s="99"/>
      <c r="L182" s="99"/>
      <c r="M182" s="98">
        <v>10000</v>
      </c>
      <c r="N182" s="99"/>
      <c r="O182" s="99"/>
      <c r="P182" s="98">
        <v>10000</v>
      </c>
    </row>
    <row r="183" spans="1:17" ht="15.75" thickBot="1" x14ac:dyDescent="0.25">
      <c r="A183" s="101"/>
      <c r="B183" s="100" t="s">
        <v>665</v>
      </c>
      <c r="C183" s="100" t="s">
        <v>665</v>
      </c>
      <c r="D183" s="99"/>
      <c r="E183" s="99"/>
      <c r="F183" s="99"/>
      <c r="G183" s="99"/>
      <c r="H183" s="99"/>
      <c r="I183" s="99"/>
      <c r="J183" s="99"/>
      <c r="K183" s="98">
        <v>69000</v>
      </c>
      <c r="L183" s="98">
        <v>119500</v>
      </c>
      <c r="M183" s="98">
        <v>122500</v>
      </c>
      <c r="N183" s="99"/>
      <c r="O183" s="99"/>
      <c r="P183" s="98">
        <v>311000</v>
      </c>
    </row>
    <row r="184" spans="1:17" ht="15.75" thickBot="1" x14ac:dyDescent="0.25">
      <c r="A184" s="101"/>
      <c r="B184" s="100" t="s">
        <v>703</v>
      </c>
      <c r="C184" s="100" t="s">
        <v>703</v>
      </c>
      <c r="D184" s="99"/>
      <c r="E184" s="99"/>
      <c r="F184" s="98">
        <v>22144</v>
      </c>
      <c r="G184" s="98">
        <v>40166</v>
      </c>
      <c r="H184" s="99"/>
      <c r="I184" s="99">
        <v>-859</v>
      </c>
      <c r="J184" s="99"/>
      <c r="K184" s="99"/>
      <c r="L184" s="99"/>
      <c r="M184" s="99"/>
      <c r="N184" s="99"/>
      <c r="O184" s="99"/>
      <c r="P184" s="98">
        <v>61451</v>
      </c>
    </row>
    <row r="185" spans="1:17" ht="15.75" thickBot="1" x14ac:dyDescent="0.25">
      <c r="A185" s="101"/>
      <c r="B185" s="100" t="s">
        <v>702</v>
      </c>
      <c r="C185" s="100" t="s">
        <v>702</v>
      </c>
      <c r="D185" s="99"/>
      <c r="E185" s="99"/>
      <c r="F185" s="98">
        <v>17000</v>
      </c>
      <c r="G185" s="98">
        <v>17000</v>
      </c>
      <c r="H185" s="98">
        <v>34000</v>
      </c>
      <c r="I185" s="99"/>
      <c r="J185" s="99"/>
      <c r="K185" s="98">
        <v>67500</v>
      </c>
      <c r="L185" s="99"/>
      <c r="M185" s="99"/>
      <c r="N185" s="99"/>
      <c r="O185" s="99"/>
      <c r="P185" s="98">
        <v>135500</v>
      </c>
    </row>
    <row r="186" spans="1:17" ht="30.75" thickBot="1" x14ac:dyDescent="0.25">
      <c r="A186" s="101"/>
      <c r="B186" s="100" t="s">
        <v>701</v>
      </c>
      <c r="C186" s="100" t="s">
        <v>710</v>
      </c>
      <c r="D186" s="99"/>
      <c r="E186" s="98">
        <v>114649</v>
      </c>
      <c r="F186" s="98">
        <v>12593</v>
      </c>
      <c r="G186" s="99"/>
      <c r="H186" s="98">
        <v>13014</v>
      </c>
      <c r="I186" s="98">
        <v>-62952</v>
      </c>
      <c r="J186" s="99">
        <v>392</v>
      </c>
      <c r="K186" s="98">
        <v>84798</v>
      </c>
      <c r="L186" s="98">
        <v>5422</v>
      </c>
      <c r="M186" s="99"/>
      <c r="N186" s="99"/>
      <c r="O186" s="99"/>
      <c r="P186" s="98">
        <v>167917</v>
      </c>
    </row>
    <row r="187" spans="1:17" ht="15.75" thickBot="1" x14ac:dyDescent="0.25">
      <c r="A187" s="101"/>
      <c r="B187" s="100"/>
      <c r="C187" s="100" t="s">
        <v>700</v>
      </c>
      <c r="D187" s="99"/>
      <c r="E187" s="99"/>
      <c r="F187" s="99"/>
      <c r="G187" s="99"/>
      <c r="H187" s="99"/>
      <c r="I187" s="99"/>
      <c r="J187" s="99"/>
      <c r="K187" s="99"/>
      <c r="L187" s="99"/>
      <c r="M187" s="98">
        <v>252712</v>
      </c>
      <c r="N187" s="98">
        <v>604749</v>
      </c>
      <c r="O187" s="99"/>
      <c r="P187" s="98">
        <v>857461</v>
      </c>
    </row>
    <row r="188" spans="1:17" ht="60.75" thickBot="1" x14ac:dyDescent="0.25">
      <c r="A188" s="101"/>
      <c r="B188" s="100" t="s">
        <v>699</v>
      </c>
      <c r="C188" s="100" t="s">
        <v>699</v>
      </c>
      <c r="D188" s="99"/>
      <c r="E188" s="99"/>
      <c r="F188" s="98">
        <v>100000</v>
      </c>
      <c r="G188" s="99"/>
      <c r="H188" s="99"/>
      <c r="I188" s="99"/>
      <c r="J188" s="99"/>
      <c r="K188" s="99"/>
      <c r="L188" s="99"/>
      <c r="M188" s="98">
        <v>100000</v>
      </c>
      <c r="N188" s="99"/>
      <c r="O188" s="99"/>
      <c r="P188" s="98">
        <v>200000</v>
      </c>
    </row>
    <row r="189" spans="1:17" ht="30.75" thickBot="1" x14ac:dyDescent="0.25">
      <c r="A189" s="97" t="s">
        <v>770</v>
      </c>
      <c r="B189" s="97"/>
      <c r="C189" s="97"/>
      <c r="D189" s="96"/>
      <c r="E189" s="95">
        <v>114649</v>
      </c>
      <c r="F189" s="95">
        <v>151737</v>
      </c>
      <c r="G189" s="95">
        <v>57166</v>
      </c>
      <c r="H189" s="95">
        <v>47014</v>
      </c>
      <c r="I189" s="95">
        <v>-63811</v>
      </c>
      <c r="J189" s="96">
        <v>392</v>
      </c>
      <c r="K189" s="95">
        <v>221298</v>
      </c>
      <c r="L189" s="95">
        <v>124922</v>
      </c>
      <c r="M189" s="95">
        <v>485212</v>
      </c>
      <c r="N189" s="95">
        <v>604749</v>
      </c>
      <c r="O189" s="96"/>
      <c r="P189" s="95">
        <v>1743329</v>
      </c>
      <c r="Q189" s="91" t="s">
        <v>706</v>
      </c>
    </row>
    <row r="190" spans="1:17" ht="30.75" thickBot="1" x14ac:dyDescent="0.25">
      <c r="A190" s="101" t="s">
        <v>93</v>
      </c>
      <c r="B190" s="100" t="s">
        <v>718</v>
      </c>
      <c r="C190" s="100" t="s">
        <v>717</v>
      </c>
      <c r="D190" s="99"/>
      <c r="E190" s="99"/>
      <c r="F190" s="99"/>
      <c r="G190" s="99"/>
      <c r="H190" s="99"/>
      <c r="I190" s="99"/>
      <c r="J190" s="99"/>
      <c r="K190" s="99"/>
      <c r="L190" s="98">
        <v>67909</v>
      </c>
      <c r="M190" s="99"/>
      <c r="N190" s="99"/>
      <c r="O190" s="99"/>
      <c r="P190" s="98">
        <v>67909</v>
      </c>
    </row>
    <row r="191" spans="1:17" ht="15.75" thickBot="1" x14ac:dyDescent="0.25">
      <c r="A191" s="101"/>
      <c r="B191" s="100" t="s">
        <v>665</v>
      </c>
      <c r="C191" s="100" t="s">
        <v>665</v>
      </c>
      <c r="D191" s="99"/>
      <c r="E191" s="99"/>
      <c r="F191" s="99"/>
      <c r="G191" s="99"/>
      <c r="H191" s="99"/>
      <c r="I191" s="99"/>
      <c r="J191" s="99"/>
      <c r="K191" s="99"/>
      <c r="L191" s="98">
        <v>1035500</v>
      </c>
      <c r="M191" s="99"/>
      <c r="N191" s="98">
        <v>3615250</v>
      </c>
      <c r="O191" s="99"/>
      <c r="P191" s="98">
        <v>4650750</v>
      </c>
    </row>
    <row r="192" spans="1:17" ht="15.75" thickBot="1" x14ac:dyDescent="0.25">
      <c r="A192" s="101"/>
      <c r="B192" s="100" t="s">
        <v>703</v>
      </c>
      <c r="C192" s="100" t="s">
        <v>703</v>
      </c>
      <c r="D192" s="99"/>
      <c r="E192" s="99"/>
      <c r="F192" s="99"/>
      <c r="G192" s="98">
        <v>273800</v>
      </c>
      <c r="H192" s="98">
        <v>280000</v>
      </c>
      <c r="I192" s="98">
        <v>301500</v>
      </c>
      <c r="J192" s="99"/>
      <c r="K192" s="99"/>
      <c r="L192" s="99"/>
      <c r="M192" s="99"/>
      <c r="N192" s="99"/>
      <c r="O192" s="99"/>
      <c r="P192" s="98">
        <v>855300</v>
      </c>
    </row>
    <row r="193" spans="1:17" ht="15.75" thickBot="1" x14ac:dyDescent="0.25">
      <c r="A193" s="101"/>
      <c r="B193" s="100" t="s">
        <v>702</v>
      </c>
      <c r="C193" s="100" t="s">
        <v>702</v>
      </c>
      <c r="D193" s="98">
        <v>264500</v>
      </c>
      <c r="E193" s="99"/>
      <c r="F193" s="98">
        <v>264500</v>
      </c>
      <c r="G193" s="98">
        <v>529000</v>
      </c>
      <c r="H193" s="98">
        <v>70500</v>
      </c>
      <c r="I193" s="98">
        <v>284800</v>
      </c>
      <c r="J193" s="98">
        <v>1908000</v>
      </c>
      <c r="K193" s="98">
        <v>355000</v>
      </c>
      <c r="L193" s="99"/>
      <c r="M193" s="99"/>
      <c r="N193" s="98">
        <v>241500</v>
      </c>
      <c r="O193" s="99"/>
      <c r="P193" s="98">
        <v>3917800</v>
      </c>
    </row>
    <row r="194" spans="1:17" ht="15.75" thickBot="1" x14ac:dyDescent="0.25">
      <c r="A194" s="101"/>
      <c r="B194" s="100" t="s">
        <v>701</v>
      </c>
      <c r="C194" s="100" t="s">
        <v>700</v>
      </c>
      <c r="D194" s="99"/>
      <c r="E194" s="98">
        <v>14035609</v>
      </c>
      <c r="F194" s="98">
        <v>4576037</v>
      </c>
      <c r="G194" s="98">
        <v>3174270</v>
      </c>
      <c r="H194" s="98">
        <v>6097621</v>
      </c>
      <c r="I194" s="98">
        <v>4185677</v>
      </c>
      <c r="J194" s="98">
        <v>4659983</v>
      </c>
      <c r="K194" s="98">
        <v>8875673</v>
      </c>
      <c r="L194" s="98">
        <v>5736967</v>
      </c>
      <c r="M194" s="98">
        <v>12016997</v>
      </c>
      <c r="N194" s="98">
        <v>2021436</v>
      </c>
      <c r="O194" s="99"/>
      <c r="P194" s="98">
        <v>65380270</v>
      </c>
    </row>
    <row r="195" spans="1:17" ht="30.75" thickBot="1" x14ac:dyDescent="0.25">
      <c r="A195" s="101"/>
      <c r="B195" s="100"/>
      <c r="C195" s="100" t="s">
        <v>716</v>
      </c>
      <c r="D195" s="99"/>
      <c r="E195" s="98">
        <v>930448</v>
      </c>
      <c r="F195" s="98">
        <v>1246500</v>
      </c>
      <c r="G195" s="98">
        <v>600000</v>
      </c>
      <c r="H195" s="99"/>
      <c r="I195" s="98">
        <v>421594</v>
      </c>
      <c r="J195" s="98">
        <v>449865</v>
      </c>
      <c r="K195" s="98">
        <v>600815</v>
      </c>
      <c r="L195" s="98">
        <v>278814</v>
      </c>
      <c r="M195" s="98">
        <v>774119</v>
      </c>
      <c r="N195" s="98">
        <v>1013459</v>
      </c>
      <c r="O195" s="99"/>
      <c r="P195" s="98">
        <v>6315614</v>
      </c>
    </row>
    <row r="196" spans="1:17" ht="60.75" thickBot="1" x14ac:dyDescent="0.25">
      <c r="A196" s="101"/>
      <c r="B196" s="100" t="s">
        <v>699</v>
      </c>
      <c r="C196" s="100" t="s">
        <v>699</v>
      </c>
      <c r="D196" s="99"/>
      <c r="E196" s="99"/>
      <c r="F196" s="98">
        <v>100000</v>
      </c>
      <c r="G196" s="99"/>
      <c r="H196" s="99"/>
      <c r="I196" s="99"/>
      <c r="J196" s="99"/>
      <c r="K196" s="99"/>
      <c r="L196" s="99"/>
      <c r="M196" s="99"/>
      <c r="N196" s="99"/>
      <c r="O196" s="99"/>
      <c r="P196" s="98">
        <v>100000</v>
      </c>
    </row>
    <row r="197" spans="1:17" ht="30.75" thickBot="1" x14ac:dyDescent="0.25">
      <c r="A197" s="97" t="s">
        <v>769</v>
      </c>
      <c r="B197" s="97"/>
      <c r="C197" s="97"/>
      <c r="D197" s="95">
        <v>264500</v>
      </c>
      <c r="E197" s="95">
        <v>14966057</v>
      </c>
      <c r="F197" s="95">
        <v>6187037</v>
      </c>
      <c r="G197" s="95">
        <v>4577070</v>
      </c>
      <c r="H197" s="95">
        <v>6448121</v>
      </c>
      <c r="I197" s="95">
        <v>5193570</v>
      </c>
      <c r="J197" s="95">
        <v>7017848</v>
      </c>
      <c r="K197" s="95">
        <v>9831488</v>
      </c>
      <c r="L197" s="95">
        <v>7119190</v>
      </c>
      <c r="M197" s="95">
        <v>12791116</v>
      </c>
      <c r="N197" s="95">
        <v>6891645</v>
      </c>
      <c r="O197" s="96"/>
      <c r="P197" s="95">
        <v>81287643</v>
      </c>
      <c r="Q197" s="91" t="s">
        <v>706</v>
      </c>
    </row>
    <row r="198" spans="1:17" ht="15.75" thickBot="1" x14ac:dyDescent="0.25">
      <c r="A198" s="101" t="s">
        <v>92</v>
      </c>
      <c r="B198" s="100" t="s">
        <v>703</v>
      </c>
      <c r="C198" s="100" t="s">
        <v>703</v>
      </c>
      <c r="D198" s="99"/>
      <c r="E198" s="99"/>
      <c r="F198" s="99"/>
      <c r="G198" s="99"/>
      <c r="H198" s="98">
        <v>202895</v>
      </c>
      <c r="I198" s="98">
        <v>178169</v>
      </c>
      <c r="J198" s="99"/>
      <c r="K198" s="98">
        <v>-33604</v>
      </c>
      <c r="L198" s="99"/>
      <c r="M198" s="99"/>
      <c r="N198" s="99"/>
      <c r="O198" s="99"/>
      <c r="P198" s="98">
        <v>347460</v>
      </c>
    </row>
    <row r="199" spans="1:17" ht="15.75" thickBot="1" x14ac:dyDescent="0.25">
      <c r="A199" s="101"/>
      <c r="B199" s="100" t="s">
        <v>702</v>
      </c>
      <c r="C199" s="100" t="s">
        <v>702</v>
      </c>
      <c r="D199" s="99"/>
      <c r="E199" s="99"/>
      <c r="F199" s="98">
        <v>321600</v>
      </c>
      <c r="G199" s="98">
        <v>321600</v>
      </c>
      <c r="H199" s="98">
        <v>523941</v>
      </c>
      <c r="I199" s="98">
        <v>119259</v>
      </c>
      <c r="J199" s="98">
        <v>1234000</v>
      </c>
      <c r="K199" s="98">
        <v>398500</v>
      </c>
      <c r="L199" s="99"/>
      <c r="M199" s="99"/>
      <c r="N199" s="99"/>
      <c r="O199" s="99"/>
      <c r="P199" s="98">
        <v>2918900</v>
      </c>
    </row>
    <row r="200" spans="1:17" ht="30.75" thickBot="1" x14ac:dyDescent="0.25">
      <c r="A200" s="101"/>
      <c r="B200" s="100" t="s">
        <v>701</v>
      </c>
      <c r="C200" s="100" t="s">
        <v>710</v>
      </c>
      <c r="D200" s="99"/>
      <c r="E200" s="99"/>
      <c r="F200" s="99"/>
      <c r="G200" s="99"/>
      <c r="H200" s="99"/>
      <c r="I200" s="99"/>
      <c r="J200" s="98">
        <v>531315</v>
      </c>
      <c r="K200" s="98">
        <v>149618</v>
      </c>
      <c r="L200" s="98">
        <v>10498</v>
      </c>
      <c r="M200" s="98">
        <v>-26325</v>
      </c>
      <c r="N200" s="99"/>
      <c r="O200" s="99"/>
      <c r="P200" s="98">
        <v>665106</v>
      </c>
    </row>
    <row r="201" spans="1:17" ht="15.75" thickBot="1" x14ac:dyDescent="0.25">
      <c r="A201" s="101"/>
      <c r="B201" s="100"/>
      <c r="C201" s="100" t="s">
        <v>700</v>
      </c>
      <c r="D201" s="99"/>
      <c r="E201" s="99"/>
      <c r="F201" s="99"/>
      <c r="G201" s="99"/>
      <c r="H201" s="99"/>
      <c r="I201" s="99"/>
      <c r="J201" s="99"/>
      <c r="K201" s="99"/>
      <c r="L201" s="98">
        <v>3612540</v>
      </c>
      <c r="M201" s="98">
        <v>2397278</v>
      </c>
      <c r="N201" s="98">
        <v>3772419</v>
      </c>
      <c r="O201" s="99"/>
      <c r="P201" s="98">
        <v>9782237</v>
      </c>
    </row>
    <row r="202" spans="1:17" ht="30.75" thickBot="1" x14ac:dyDescent="0.25">
      <c r="A202" s="101"/>
      <c r="B202" s="100"/>
      <c r="C202" s="100" t="s">
        <v>716</v>
      </c>
      <c r="D202" s="99"/>
      <c r="E202" s="98">
        <v>145496</v>
      </c>
      <c r="F202" s="99"/>
      <c r="G202" s="99"/>
      <c r="H202" s="98">
        <v>108854</v>
      </c>
      <c r="I202" s="98">
        <v>625456</v>
      </c>
      <c r="J202" s="98">
        <v>175806</v>
      </c>
      <c r="K202" s="98">
        <v>103432</v>
      </c>
      <c r="L202" s="98">
        <v>182725</v>
      </c>
      <c r="M202" s="98">
        <v>498774</v>
      </c>
      <c r="N202" s="98">
        <v>1000</v>
      </c>
      <c r="O202" s="98">
        <v>10044</v>
      </c>
      <c r="P202" s="98">
        <v>1851586</v>
      </c>
    </row>
    <row r="203" spans="1:17" ht="60.75" thickBot="1" x14ac:dyDescent="0.25">
      <c r="A203" s="101"/>
      <c r="B203" s="100" t="s">
        <v>699</v>
      </c>
      <c r="C203" s="100" t="s">
        <v>699</v>
      </c>
      <c r="D203" s="99"/>
      <c r="E203" s="99"/>
      <c r="F203" s="98">
        <v>100000</v>
      </c>
      <c r="G203" s="99"/>
      <c r="H203" s="99"/>
      <c r="I203" s="99"/>
      <c r="J203" s="99"/>
      <c r="K203" s="99"/>
      <c r="L203" s="98">
        <v>120500</v>
      </c>
      <c r="M203" s="99"/>
      <c r="N203" s="99"/>
      <c r="O203" s="99"/>
      <c r="P203" s="98">
        <v>220500</v>
      </c>
    </row>
    <row r="204" spans="1:17" ht="30.75" thickBot="1" x14ac:dyDescent="0.25">
      <c r="A204" s="97" t="s">
        <v>768</v>
      </c>
      <c r="B204" s="97"/>
      <c r="C204" s="97"/>
      <c r="D204" s="96"/>
      <c r="E204" s="95">
        <v>145496</v>
      </c>
      <c r="F204" s="95">
        <v>421600</v>
      </c>
      <c r="G204" s="95">
        <v>321600</v>
      </c>
      <c r="H204" s="95">
        <v>835690</v>
      </c>
      <c r="I204" s="95">
        <v>922884</v>
      </c>
      <c r="J204" s="95">
        <v>1941122</v>
      </c>
      <c r="K204" s="95">
        <v>617946</v>
      </c>
      <c r="L204" s="95">
        <v>3926263</v>
      </c>
      <c r="M204" s="95">
        <v>2869727</v>
      </c>
      <c r="N204" s="95">
        <v>3773418</v>
      </c>
      <c r="O204" s="95">
        <v>10044</v>
      </c>
      <c r="P204" s="95">
        <v>15785789</v>
      </c>
      <c r="Q204" s="91" t="s">
        <v>617</v>
      </c>
    </row>
    <row r="205" spans="1:17" ht="30.75" thickBot="1" x14ac:dyDescent="0.25">
      <c r="A205" s="101" t="s">
        <v>767</v>
      </c>
      <c r="B205" s="100" t="s">
        <v>665</v>
      </c>
      <c r="C205" s="100" t="s">
        <v>665</v>
      </c>
      <c r="D205" s="99"/>
      <c r="E205" s="99"/>
      <c r="F205" s="99"/>
      <c r="G205" s="99"/>
      <c r="H205" s="99"/>
      <c r="I205" s="99"/>
      <c r="J205" s="99"/>
      <c r="K205" s="99"/>
      <c r="L205" s="98">
        <v>338500</v>
      </c>
      <c r="M205" s="99"/>
      <c r="N205" s="99"/>
      <c r="O205" s="99"/>
      <c r="P205" s="98">
        <v>338500</v>
      </c>
    </row>
    <row r="206" spans="1:17" ht="15.75" thickBot="1" x14ac:dyDescent="0.25">
      <c r="A206" s="101"/>
      <c r="B206" s="100" t="s">
        <v>703</v>
      </c>
      <c r="C206" s="100" t="s">
        <v>703</v>
      </c>
      <c r="D206" s="99"/>
      <c r="E206" s="99"/>
      <c r="F206" s="99"/>
      <c r="G206" s="99"/>
      <c r="H206" s="99"/>
      <c r="I206" s="98">
        <v>61499</v>
      </c>
      <c r="J206" s="98">
        <v>21459</v>
      </c>
      <c r="K206" s="98">
        <v>34861</v>
      </c>
      <c r="L206" s="98">
        <v>-2033</v>
      </c>
      <c r="M206" s="99"/>
      <c r="N206" s="99"/>
      <c r="O206" s="99"/>
      <c r="P206" s="98">
        <v>115787</v>
      </c>
    </row>
    <row r="207" spans="1:17" ht="15.75" thickBot="1" x14ac:dyDescent="0.25">
      <c r="A207" s="101"/>
      <c r="B207" s="100" t="s">
        <v>702</v>
      </c>
      <c r="C207" s="100" t="s">
        <v>702</v>
      </c>
      <c r="D207" s="99"/>
      <c r="E207" s="99"/>
      <c r="F207" s="99"/>
      <c r="G207" s="99"/>
      <c r="H207" s="98">
        <v>46300</v>
      </c>
      <c r="I207" s="98">
        <v>276560</v>
      </c>
      <c r="J207" s="99"/>
      <c r="K207" s="98">
        <v>83000</v>
      </c>
      <c r="L207" s="98">
        <v>94500</v>
      </c>
      <c r="M207" s="99"/>
      <c r="N207" s="99"/>
      <c r="O207" s="99"/>
      <c r="P207" s="98">
        <v>500360</v>
      </c>
    </row>
    <row r="208" spans="1:17" ht="15.75" thickBot="1" x14ac:dyDescent="0.25">
      <c r="A208" s="101"/>
      <c r="B208" s="100" t="s">
        <v>701</v>
      </c>
      <c r="C208" s="100" t="s">
        <v>700</v>
      </c>
      <c r="D208" s="99"/>
      <c r="E208" s="99"/>
      <c r="F208" s="99"/>
      <c r="G208" s="99"/>
      <c r="H208" s="99"/>
      <c r="I208" s="99"/>
      <c r="J208" s="99"/>
      <c r="K208" s="98">
        <v>335086</v>
      </c>
      <c r="L208" s="98">
        <v>713899</v>
      </c>
      <c r="M208" s="98">
        <v>328664</v>
      </c>
      <c r="N208" s="98">
        <v>683142</v>
      </c>
      <c r="O208" s="99"/>
      <c r="P208" s="98">
        <v>2060791</v>
      </c>
    </row>
    <row r="209" spans="1:17" ht="30.75" thickBot="1" x14ac:dyDescent="0.25">
      <c r="A209" s="101"/>
      <c r="B209" s="100"/>
      <c r="C209" s="100" t="s">
        <v>716</v>
      </c>
      <c r="D209" s="99"/>
      <c r="E209" s="99"/>
      <c r="F209" s="99"/>
      <c r="G209" s="99"/>
      <c r="H209" s="99"/>
      <c r="I209" s="99"/>
      <c r="J209" s="99"/>
      <c r="K209" s="98">
        <v>29309</v>
      </c>
      <c r="L209" s="98">
        <v>63352</v>
      </c>
      <c r="M209" s="98">
        <v>3256</v>
      </c>
      <c r="N209" s="98">
        <v>72549</v>
      </c>
      <c r="O209" s="99">
        <v>-21</v>
      </c>
      <c r="P209" s="98">
        <v>168444</v>
      </c>
    </row>
    <row r="210" spans="1:17" ht="60.75" thickBot="1" x14ac:dyDescent="0.25">
      <c r="A210" s="101"/>
      <c r="B210" s="100" t="s">
        <v>699</v>
      </c>
      <c r="C210" s="100" t="s">
        <v>699</v>
      </c>
      <c r="D210" s="99"/>
      <c r="E210" s="99"/>
      <c r="F210" s="99"/>
      <c r="G210" s="99"/>
      <c r="H210" s="99"/>
      <c r="I210" s="99"/>
      <c r="J210" s="99"/>
      <c r="K210" s="98">
        <v>200000</v>
      </c>
      <c r="L210" s="99"/>
      <c r="M210" s="99"/>
      <c r="N210" s="99"/>
      <c r="O210" s="99"/>
      <c r="P210" s="98">
        <v>200000</v>
      </c>
    </row>
    <row r="211" spans="1:17" ht="45.75" thickBot="1" x14ac:dyDescent="0.25">
      <c r="A211" s="97" t="s">
        <v>766</v>
      </c>
      <c r="B211" s="97"/>
      <c r="C211" s="97"/>
      <c r="D211" s="96"/>
      <c r="E211" s="96"/>
      <c r="F211" s="96"/>
      <c r="G211" s="96"/>
      <c r="H211" s="95">
        <v>46300</v>
      </c>
      <c r="I211" s="95">
        <v>338059</v>
      </c>
      <c r="J211" s="95">
        <v>21459</v>
      </c>
      <c r="K211" s="95">
        <v>682256</v>
      </c>
      <c r="L211" s="95">
        <v>1208218</v>
      </c>
      <c r="M211" s="95">
        <v>331920</v>
      </c>
      <c r="N211" s="95">
        <v>755691</v>
      </c>
      <c r="O211" s="96">
        <v>-21</v>
      </c>
      <c r="P211" s="95">
        <v>3383882</v>
      </c>
      <c r="Q211" s="91" t="s">
        <v>617</v>
      </c>
    </row>
    <row r="212" spans="1:17" ht="15.75" thickBot="1" x14ac:dyDescent="0.25">
      <c r="A212" s="101" t="s">
        <v>46</v>
      </c>
      <c r="B212" s="100" t="s">
        <v>702</v>
      </c>
      <c r="C212" s="100" t="s">
        <v>702</v>
      </c>
      <c r="D212" s="99"/>
      <c r="E212" s="99"/>
      <c r="F212" s="99"/>
      <c r="G212" s="99"/>
      <c r="H212" s="99"/>
      <c r="I212" s="99"/>
      <c r="J212" s="99"/>
      <c r="K212" s="98">
        <v>15000</v>
      </c>
      <c r="L212" s="98">
        <v>15000</v>
      </c>
      <c r="M212" s="99"/>
      <c r="N212" s="98">
        <v>30000</v>
      </c>
      <c r="O212" s="99"/>
      <c r="P212" s="98">
        <v>60000</v>
      </c>
    </row>
    <row r="213" spans="1:17" ht="15.75" thickBot="1" x14ac:dyDescent="0.25">
      <c r="A213" s="101"/>
      <c r="B213" s="100" t="s">
        <v>701</v>
      </c>
      <c r="C213" s="100" t="s">
        <v>700</v>
      </c>
      <c r="D213" s="99"/>
      <c r="E213" s="98">
        <v>307523</v>
      </c>
      <c r="F213" s="98">
        <v>159919</v>
      </c>
      <c r="G213" s="98">
        <v>144049</v>
      </c>
      <c r="H213" s="98">
        <v>175157</v>
      </c>
      <c r="I213" s="98">
        <v>4500</v>
      </c>
      <c r="J213" s="99"/>
      <c r="K213" s="98">
        <v>133600</v>
      </c>
      <c r="L213" s="99"/>
      <c r="M213" s="99"/>
      <c r="N213" s="99"/>
      <c r="O213" s="99"/>
      <c r="P213" s="98">
        <v>924748</v>
      </c>
    </row>
    <row r="214" spans="1:17" ht="15.75" thickBot="1" x14ac:dyDescent="0.25">
      <c r="A214" s="101"/>
      <c r="B214" s="100"/>
      <c r="C214" s="100" t="s">
        <v>708</v>
      </c>
      <c r="D214" s="99"/>
      <c r="E214" s="99"/>
      <c r="F214" s="99"/>
      <c r="G214" s="99"/>
      <c r="H214" s="99"/>
      <c r="I214" s="99"/>
      <c r="J214" s="99"/>
      <c r="K214" s="99"/>
      <c r="L214" s="99"/>
      <c r="M214" s="99"/>
      <c r="N214" s="98">
        <v>264681</v>
      </c>
      <c r="O214" s="99"/>
      <c r="P214" s="98">
        <v>264681</v>
      </c>
    </row>
    <row r="215" spans="1:17" ht="30.75" thickBot="1" x14ac:dyDescent="0.25">
      <c r="A215" s="101"/>
      <c r="B215" s="100"/>
      <c r="C215" s="100" t="s">
        <v>742</v>
      </c>
      <c r="D215" s="99"/>
      <c r="E215" s="99"/>
      <c r="F215" s="99"/>
      <c r="G215" s="99"/>
      <c r="H215" s="99"/>
      <c r="I215" s="99"/>
      <c r="J215" s="99"/>
      <c r="K215" s="99"/>
      <c r="L215" s="99"/>
      <c r="M215" s="98">
        <v>330000</v>
      </c>
      <c r="N215" s="98">
        <v>287000</v>
      </c>
      <c r="O215" s="99"/>
      <c r="P215" s="98">
        <v>617000</v>
      </c>
    </row>
    <row r="216" spans="1:17" ht="60.75" thickBot="1" x14ac:dyDescent="0.25">
      <c r="A216" s="101"/>
      <c r="B216" s="100" t="s">
        <v>699</v>
      </c>
      <c r="C216" s="100" t="s">
        <v>699</v>
      </c>
      <c r="D216" s="99"/>
      <c r="E216" s="99"/>
      <c r="F216" s="98">
        <v>100000</v>
      </c>
      <c r="G216" s="99"/>
      <c r="H216" s="99"/>
      <c r="I216" s="99"/>
      <c r="J216" s="99"/>
      <c r="K216" s="99"/>
      <c r="L216" s="98">
        <v>200000</v>
      </c>
      <c r="M216" s="99"/>
      <c r="N216" s="99"/>
      <c r="O216" s="99"/>
      <c r="P216" s="98">
        <v>300000</v>
      </c>
    </row>
    <row r="217" spans="1:17" ht="30.75" thickBot="1" x14ac:dyDescent="0.25">
      <c r="A217" s="97" t="s">
        <v>765</v>
      </c>
      <c r="B217" s="97"/>
      <c r="C217" s="97"/>
      <c r="D217" s="96"/>
      <c r="E217" s="95">
        <v>307523</v>
      </c>
      <c r="F217" s="95">
        <v>259919</v>
      </c>
      <c r="G217" s="95">
        <v>144049</v>
      </c>
      <c r="H217" s="95">
        <v>175157</v>
      </c>
      <c r="I217" s="95">
        <v>4500</v>
      </c>
      <c r="J217" s="96"/>
      <c r="K217" s="95">
        <v>148600</v>
      </c>
      <c r="L217" s="95">
        <v>215000</v>
      </c>
      <c r="M217" s="95">
        <v>330000</v>
      </c>
      <c r="N217" s="95">
        <v>581681</v>
      </c>
      <c r="O217" s="96"/>
      <c r="P217" s="95">
        <v>2166429</v>
      </c>
      <c r="Q217" s="91" t="s">
        <v>706</v>
      </c>
    </row>
    <row r="218" spans="1:17" ht="15.75" thickBot="1" x14ac:dyDescent="0.25">
      <c r="A218" s="101" t="s">
        <v>90</v>
      </c>
      <c r="B218" s="100" t="s">
        <v>703</v>
      </c>
      <c r="C218" s="100" t="s">
        <v>703</v>
      </c>
      <c r="D218" s="99"/>
      <c r="E218" s="99"/>
      <c r="F218" s="99"/>
      <c r="G218" s="99"/>
      <c r="H218" s="98">
        <v>178000</v>
      </c>
      <c r="I218" s="98">
        <v>124000</v>
      </c>
      <c r="J218" s="98">
        <v>95500</v>
      </c>
      <c r="K218" s="99"/>
      <c r="L218" s="99"/>
      <c r="M218" s="99"/>
      <c r="N218" s="99"/>
      <c r="O218" s="99"/>
      <c r="P218" s="98">
        <v>397500</v>
      </c>
    </row>
    <row r="219" spans="1:17" ht="15.75" thickBot="1" x14ac:dyDescent="0.25">
      <c r="A219" s="101"/>
      <c r="B219" s="100" t="s">
        <v>702</v>
      </c>
      <c r="C219" s="100" t="s">
        <v>702</v>
      </c>
      <c r="D219" s="99"/>
      <c r="E219" s="98">
        <v>314000</v>
      </c>
      <c r="F219" s="98">
        <v>314000</v>
      </c>
      <c r="G219" s="98">
        <v>314000</v>
      </c>
      <c r="H219" s="98">
        <v>314000</v>
      </c>
      <c r="I219" s="99"/>
      <c r="J219" s="99"/>
      <c r="K219" s="99"/>
      <c r="L219" s="99"/>
      <c r="M219" s="99"/>
      <c r="N219" s="99"/>
      <c r="O219" s="99"/>
      <c r="P219" s="98">
        <v>1256000</v>
      </c>
    </row>
    <row r="220" spans="1:17" ht="30.75" thickBot="1" x14ac:dyDescent="0.25">
      <c r="A220" s="97" t="s">
        <v>764</v>
      </c>
      <c r="B220" s="97"/>
      <c r="C220" s="97"/>
      <c r="D220" s="96"/>
      <c r="E220" s="95">
        <v>314000</v>
      </c>
      <c r="F220" s="95">
        <v>314000</v>
      </c>
      <c r="G220" s="95">
        <v>314000</v>
      </c>
      <c r="H220" s="95">
        <v>492000</v>
      </c>
      <c r="I220" s="95">
        <v>124000</v>
      </c>
      <c r="J220" s="95">
        <v>95500</v>
      </c>
      <c r="K220" s="96"/>
      <c r="L220" s="96"/>
      <c r="M220" s="96"/>
      <c r="N220" s="96"/>
      <c r="O220" s="96"/>
      <c r="P220" s="95">
        <v>1653500</v>
      </c>
      <c r="Q220" s="91" t="s">
        <v>617</v>
      </c>
    </row>
    <row r="221" spans="1:17" ht="30.75" thickBot="1" x14ac:dyDescent="0.25">
      <c r="A221" s="101" t="s">
        <v>45</v>
      </c>
      <c r="B221" s="100" t="s">
        <v>665</v>
      </c>
      <c r="C221" s="100" t="s">
        <v>665</v>
      </c>
      <c r="D221" s="99"/>
      <c r="E221" s="99"/>
      <c r="F221" s="99"/>
      <c r="G221" s="99"/>
      <c r="H221" s="99"/>
      <c r="I221" s="99"/>
      <c r="J221" s="99"/>
      <c r="K221" s="99"/>
      <c r="L221" s="98">
        <v>607000</v>
      </c>
      <c r="M221" s="99"/>
      <c r="N221" s="98">
        <v>1004500</v>
      </c>
      <c r="O221" s="99"/>
      <c r="P221" s="98">
        <v>1611500</v>
      </c>
    </row>
    <row r="222" spans="1:17" ht="15.75" thickBot="1" x14ac:dyDescent="0.25">
      <c r="A222" s="101"/>
      <c r="B222" s="100" t="s">
        <v>703</v>
      </c>
      <c r="C222" s="100" t="s">
        <v>703</v>
      </c>
      <c r="D222" s="99"/>
      <c r="E222" s="99"/>
      <c r="F222" s="99"/>
      <c r="G222" s="99"/>
      <c r="H222" s="98">
        <v>172500</v>
      </c>
      <c r="I222" s="98">
        <v>284500</v>
      </c>
      <c r="J222" s="99"/>
      <c r="K222" s="99"/>
      <c r="L222" s="99"/>
      <c r="M222" s="99"/>
      <c r="N222" s="99"/>
      <c r="O222" s="99"/>
      <c r="P222" s="98">
        <v>457000</v>
      </c>
    </row>
    <row r="223" spans="1:17" ht="15.75" thickBot="1" x14ac:dyDescent="0.25">
      <c r="A223" s="101"/>
      <c r="B223" s="100" t="s">
        <v>702</v>
      </c>
      <c r="C223" s="100" t="s">
        <v>702</v>
      </c>
      <c r="D223" s="99"/>
      <c r="E223" s="99"/>
      <c r="F223" s="99"/>
      <c r="G223" s="99"/>
      <c r="H223" s="99"/>
      <c r="I223" s="99"/>
      <c r="J223" s="99"/>
      <c r="K223" s="98">
        <v>46500</v>
      </c>
      <c r="L223" s="98">
        <v>46500</v>
      </c>
      <c r="M223" s="99"/>
      <c r="N223" s="99"/>
      <c r="O223" s="99"/>
      <c r="P223" s="98">
        <v>93000</v>
      </c>
    </row>
    <row r="224" spans="1:17" ht="15.75" thickBot="1" x14ac:dyDescent="0.25">
      <c r="A224" s="101"/>
      <c r="B224" s="100" t="s">
        <v>701</v>
      </c>
      <c r="C224" s="100" t="s">
        <v>708</v>
      </c>
      <c r="D224" s="99"/>
      <c r="E224" s="99"/>
      <c r="F224" s="99"/>
      <c r="G224" s="99"/>
      <c r="H224" s="99"/>
      <c r="I224" s="99"/>
      <c r="J224" s="99"/>
      <c r="K224" s="99"/>
      <c r="L224" s="99"/>
      <c r="M224" s="99"/>
      <c r="N224" s="98">
        <v>3035072</v>
      </c>
      <c r="O224" s="98">
        <v>1595980</v>
      </c>
      <c r="P224" s="98">
        <v>4631052</v>
      </c>
    </row>
    <row r="225" spans="1:17" ht="30.75" thickBot="1" x14ac:dyDescent="0.25">
      <c r="A225" s="101"/>
      <c r="B225" s="100"/>
      <c r="C225" s="100" t="s">
        <v>742</v>
      </c>
      <c r="D225" s="99"/>
      <c r="E225" s="99"/>
      <c r="F225" s="99"/>
      <c r="G225" s="99"/>
      <c r="H225" s="99"/>
      <c r="I225" s="99"/>
      <c r="J225" s="99"/>
      <c r="K225" s="99"/>
      <c r="L225" s="98">
        <v>3183373</v>
      </c>
      <c r="M225" s="98">
        <v>786500</v>
      </c>
      <c r="N225" s="98">
        <v>3124500</v>
      </c>
      <c r="O225" s="99"/>
      <c r="P225" s="98">
        <v>7094373</v>
      </c>
    </row>
    <row r="226" spans="1:17" ht="60.75" thickBot="1" x14ac:dyDescent="0.25">
      <c r="A226" s="101"/>
      <c r="B226" s="100" t="s">
        <v>699</v>
      </c>
      <c r="C226" s="100" t="s">
        <v>699</v>
      </c>
      <c r="D226" s="99"/>
      <c r="E226" s="99"/>
      <c r="F226" s="99"/>
      <c r="G226" s="99"/>
      <c r="H226" s="99"/>
      <c r="I226" s="99"/>
      <c r="J226" s="99"/>
      <c r="K226" s="99"/>
      <c r="L226" s="98">
        <v>200000</v>
      </c>
      <c r="M226" s="99"/>
      <c r="N226" s="99"/>
      <c r="O226" s="99"/>
      <c r="P226" s="98">
        <v>200000</v>
      </c>
    </row>
    <row r="227" spans="1:17" ht="30.75" thickBot="1" x14ac:dyDescent="0.25">
      <c r="A227" s="97" t="s">
        <v>763</v>
      </c>
      <c r="B227" s="97"/>
      <c r="C227" s="97"/>
      <c r="D227" s="96"/>
      <c r="E227" s="96"/>
      <c r="F227" s="96"/>
      <c r="G227" s="96"/>
      <c r="H227" s="95">
        <v>172500</v>
      </c>
      <c r="I227" s="95">
        <v>284500</v>
      </c>
      <c r="J227" s="96"/>
      <c r="K227" s="95">
        <v>46500</v>
      </c>
      <c r="L227" s="95">
        <v>4036873</v>
      </c>
      <c r="M227" s="95">
        <v>786500</v>
      </c>
      <c r="N227" s="95">
        <v>7164072</v>
      </c>
      <c r="O227" s="95">
        <v>1595980</v>
      </c>
      <c r="P227" s="95">
        <v>14086925</v>
      </c>
      <c r="Q227" s="91" t="s">
        <v>706</v>
      </c>
    </row>
    <row r="228" spans="1:17" ht="15.75" thickBot="1" x14ac:dyDescent="0.25">
      <c r="A228" s="101" t="s">
        <v>44</v>
      </c>
      <c r="B228" s="100" t="s">
        <v>703</v>
      </c>
      <c r="C228" s="100" t="s">
        <v>703</v>
      </c>
      <c r="D228" s="99"/>
      <c r="E228" s="99"/>
      <c r="F228" s="99"/>
      <c r="G228" s="99"/>
      <c r="H228" s="99"/>
      <c r="I228" s="98">
        <v>12774789</v>
      </c>
      <c r="J228" s="99"/>
      <c r="K228" s="98">
        <v>7092646</v>
      </c>
      <c r="L228" s="99"/>
      <c r="M228" s="98">
        <v>-1439946</v>
      </c>
      <c r="N228" s="99"/>
      <c r="O228" s="99"/>
      <c r="P228" s="98">
        <v>18427489</v>
      </c>
    </row>
    <row r="229" spans="1:17" ht="30.75" thickBot="1" x14ac:dyDescent="0.25">
      <c r="A229" s="101"/>
      <c r="B229" s="100" t="s">
        <v>701</v>
      </c>
      <c r="C229" s="100" t="s">
        <v>710</v>
      </c>
      <c r="D229" s="99"/>
      <c r="E229" s="99"/>
      <c r="F229" s="99"/>
      <c r="G229" s="98">
        <v>824605</v>
      </c>
      <c r="H229" s="99"/>
      <c r="I229" s="98">
        <v>7065467</v>
      </c>
      <c r="J229" s="98">
        <v>7343436</v>
      </c>
      <c r="K229" s="98">
        <v>7853345</v>
      </c>
      <c r="L229" s="98">
        <v>6090686</v>
      </c>
      <c r="M229" s="98">
        <v>2903215</v>
      </c>
      <c r="N229" s="98">
        <v>-5594721</v>
      </c>
      <c r="O229" s="99"/>
      <c r="P229" s="98">
        <v>26486033</v>
      </c>
    </row>
    <row r="230" spans="1:17" ht="60.75" thickBot="1" x14ac:dyDescent="0.25">
      <c r="A230" s="101"/>
      <c r="B230" s="100" t="s">
        <v>699</v>
      </c>
      <c r="C230" s="100" t="s">
        <v>699</v>
      </c>
      <c r="D230" s="99"/>
      <c r="E230" s="99"/>
      <c r="F230" s="98">
        <v>100000</v>
      </c>
      <c r="G230" s="99"/>
      <c r="H230" s="99"/>
      <c r="I230" s="99"/>
      <c r="J230" s="99"/>
      <c r="K230" s="99"/>
      <c r="L230" s="98">
        <v>1100000</v>
      </c>
      <c r="M230" s="99"/>
      <c r="N230" s="99"/>
      <c r="O230" s="99"/>
      <c r="P230" s="98">
        <v>1200000</v>
      </c>
    </row>
    <row r="231" spans="1:17" ht="30.75" thickBot="1" x14ac:dyDescent="0.25">
      <c r="A231" s="97" t="s">
        <v>762</v>
      </c>
      <c r="B231" s="97"/>
      <c r="C231" s="97"/>
      <c r="D231" s="96"/>
      <c r="E231" s="96"/>
      <c r="F231" s="95">
        <v>100000</v>
      </c>
      <c r="G231" s="95">
        <v>824605</v>
      </c>
      <c r="H231" s="96"/>
      <c r="I231" s="95">
        <v>19840257</v>
      </c>
      <c r="J231" s="95">
        <v>7343436</v>
      </c>
      <c r="K231" s="95">
        <v>14945991</v>
      </c>
      <c r="L231" s="95">
        <v>7190686</v>
      </c>
      <c r="M231" s="95">
        <v>1463269</v>
      </c>
      <c r="N231" s="95">
        <v>-5594721</v>
      </c>
      <c r="O231" s="96"/>
      <c r="P231" s="95">
        <v>46113522</v>
      </c>
      <c r="Q231" s="91" t="s">
        <v>706</v>
      </c>
    </row>
    <row r="232" spans="1:17" ht="30.75" thickBot="1" x14ac:dyDescent="0.25">
      <c r="A232" s="101" t="s">
        <v>43</v>
      </c>
      <c r="B232" s="100" t="s">
        <v>718</v>
      </c>
      <c r="C232" s="100" t="s">
        <v>717</v>
      </c>
      <c r="D232" s="99"/>
      <c r="E232" s="99"/>
      <c r="F232" s="99"/>
      <c r="G232" s="99"/>
      <c r="H232" s="99"/>
      <c r="I232" s="99"/>
      <c r="J232" s="99"/>
      <c r="K232" s="99"/>
      <c r="L232" s="98">
        <v>100000</v>
      </c>
      <c r="M232" s="99"/>
      <c r="N232" s="99"/>
      <c r="O232" s="99"/>
      <c r="P232" s="98">
        <v>100000</v>
      </c>
    </row>
    <row r="233" spans="1:17" ht="30.75" thickBot="1" x14ac:dyDescent="0.25">
      <c r="A233" s="101"/>
      <c r="B233" s="100"/>
      <c r="C233" s="100" t="s">
        <v>738</v>
      </c>
      <c r="D233" s="99"/>
      <c r="E233" s="99"/>
      <c r="F233" s="99"/>
      <c r="G233" s="99"/>
      <c r="H233" s="99"/>
      <c r="I233" s="99"/>
      <c r="J233" s="99"/>
      <c r="K233" s="99"/>
      <c r="L233" s="98">
        <v>1270500</v>
      </c>
      <c r="M233" s="99"/>
      <c r="N233" s="99"/>
      <c r="O233" s="99"/>
      <c r="P233" s="98">
        <v>1270500</v>
      </c>
    </row>
    <row r="234" spans="1:17" ht="15.75" thickBot="1" x14ac:dyDescent="0.25">
      <c r="A234" s="101"/>
      <c r="B234" s="100" t="s">
        <v>665</v>
      </c>
      <c r="C234" s="100" t="s">
        <v>665</v>
      </c>
      <c r="D234" s="99"/>
      <c r="E234" s="99"/>
      <c r="F234" s="99"/>
      <c r="G234" s="99"/>
      <c r="H234" s="99"/>
      <c r="I234" s="99"/>
      <c r="J234" s="99"/>
      <c r="K234" s="99"/>
      <c r="L234" s="98">
        <v>7691000</v>
      </c>
      <c r="M234" s="98">
        <v>270000</v>
      </c>
      <c r="N234" s="99"/>
      <c r="O234" s="99"/>
      <c r="P234" s="98">
        <v>7961000</v>
      </c>
    </row>
    <row r="235" spans="1:17" ht="15.75" thickBot="1" x14ac:dyDescent="0.25">
      <c r="A235" s="101"/>
      <c r="B235" s="100" t="s">
        <v>703</v>
      </c>
      <c r="C235" s="100" t="s">
        <v>703</v>
      </c>
      <c r="D235" s="99"/>
      <c r="E235" s="99"/>
      <c r="F235" s="98">
        <v>1105000</v>
      </c>
      <c r="G235" s="98">
        <v>2655506</v>
      </c>
      <c r="H235" s="98">
        <v>6582491</v>
      </c>
      <c r="I235" s="98">
        <v>417589</v>
      </c>
      <c r="J235" s="98">
        <v>-906971</v>
      </c>
      <c r="K235" s="98">
        <v>3229</v>
      </c>
      <c r="L235" s="99"/>
      <c r="M235" s="99"/>
      <c r="N235" s="99"/>
      <c r="O235" s="99"/>
      <c r="P235" s="98">
        <v>9856844</v>
      </c>
    </row>
    <row r="236" spans="1:17" ht="15.75" thickBot="1" x14ac:dyDescent="0.25">
      <c r="A236" s="101"/>
      <c r="B236" s="100" t="s">
        <v>702</v>
      </c>
      <c r="C236" s="100" t="s">
        <v>702</v>
      </c>
      <c r="D236" s="99"/>
      <c r="E236" s="99"/>
      <c r="F236" s="99"/>
      <c r="G236" s="98">
        <v>1657500</v>
      </c>
      <c r="H236" s="98">
        <v>1783000</v>
      </c>
      <c r="I236" s="98">
        <v>3189500</v>
      </c>
      <c r="J236" s="99"/>
      <c r="K236" s="98">
        <v>6006000</v>
      </c>
      <c r="L236" s="99"/>
      <c r="M236" s="99"/>
      <c r="N236" s="99"/>
      <c r="O236" s="99"/>
      <c r="P236" s="98">
        <v>12636000</v>
      </c>
    </row>
    <row r="237" spans="1:17" ht="30.75" thickBot="1" x14ac:dyDescent="0.25">
      <c r="A237" s="101"/>
      <c r="B237" s="100" t="s">
        <v>701</v>
      </c>
      <c r="C237" s="100" t="s">
        <v>710</v>
      </c>
      <c r="D237" s="99"/>
      <c r="E237" s="99"/>
      <c r="F237" s="98">
        <v>2510500</v>
      </c>
      <c r="G237" s="98">
        <v>3437000</v>
      </c>
      <c r="H237" s="98">
        <v>2124000</v>
      </c>
      <c r="I237" s="98">
        <v>2444500</v>
      </c>
      <c r="J237" s="98">
        <v>2521000</v>
      </c>
      <c r="K237" s="98">
        <v>2892000</v>
      </c>
      <c r="L237" s="99"/>
      <c r="M237" s="98">
        <v>1582000</v>
      </c>
      <c r="N237" s="99"/>
      <c r="O237" s="99"/>
      <c r="P237" s="98">
        <v>17511000</v>
      </c>
    </row>
    <row r="238" spans="1:17" ht="60.75" thickBot="1" x14ac:dyDescent="0.25">
      <c r="A238" s="101"/>
      <c r="B238" s="100" t="s">
        <v>699</v>
      </c>
      <c r="C238" s="100" t="s">
        <v>699</v>
      </c>
      <c r="D238" s="99"/>
      <c r="E238" s="99"/>
      <c r="F238" s="98">
        <v>100000</v>
      </c>
      <c r="G238" s="99"/>
      <c r="H238" s="99"/>
      <c r="I238" s="99"/>
      <c r="J238" s="99"/>
      <c r="K238" s="99"/>
      <c r="L238" s="99"/>
      <c r="M238" s="99"/>
      <c r="N238" s="99"/>
      <c r="O238" s="99"/>
      <c r="P238" s="98">
        <v>100000</v>
      </c>
    </row>
    <row r="239" spans="1:17" ht="30.75" thickBot="1" x14ac:dyDescent="0.25">
      <c r="A239" s="97" t="s">
        <v>761</v>
      </c>
      <c r="B239" s="97"/>
      <c r="C239" s="97"/>
      <c r="D239" s="96"/>
      <c r="E239" s="96"/>
      <c r="F239" s="95">
        <v>3715500</v>
      </c>
      <c r="G239" s="95">
        <v>7750006</v>
      </c>
      <c r="H239" s="95">
        <v>10489491</v>
      </c>
      <c r="I239" s="95">
        <v>6051589</v>
      </c>
      <c r="J239" s="95">
        <v>1614029</v>
      </c>
      <c r="K239" s="95">
        <v>8901229</v>
      </c>
      <c r="L239" s="95">
        <v>9061500</v>
      </c>
      <c r="M239" s="95">
        <v>1852000</v>
      </c>
      <c r="N239" s="96"/>
      <c r="O239" s="96"/>
      <c r="P239" s="95">
        <v>49435344</v>
      </c>
      <c r="Q239" s="91" t="s">
        <v>706</v>
      </c>
    </row>
    <row r="240" spans="1:17" ht="15.75" thickBot="1" x14ac:dyDescent="0.25">
      <c r="A240" s="101" t="s">
        <v>89</v>
      </c>
      <c r="B240" s="100" t="s">
        <v>665</v>
      </c>
      <c r="C240" s="100" t="s">
        <v>665</v>
      </c>
      <c r="D240" s="99"/>
      <c r="E240" s="99"/>
      <c r="F240" s="99"/>
      <c r="G240" s="99"/>
      <c r="H240" s="99"/>
      <c r="I240" s="99"/>
      <c r="J240" s="99"/>
      <c r="K240" s="99"/>
      <c r="L240" s="98">
        <v>5831000</v>
      </c>
      <c r="M240" s="99"/>
      <c r="N240" s="98">
        <v>4072000</v>
      </c>
      <c r="O240" s="99"/>
      <c r="P240" s="98">
        <v>9903000</v>
      </c>
    </row>
    <row r="241" spans="1:17" ht="15.75" thickBot="1" x14ac:dyDescent="0.25">
      <c r="A241" s="101"/>
      <c r="B241" s="100" t="s">
        <v>703</v>
      </c>
      <c r="C241" s="100" t="s">
        <v>703</v>
      </c>
      <c r="D241" s="99"/>
      <c r="E241" s="99"/>
      <c r="F241" s="99"/>
      <c r="G241" s="98">
        <v>378000</v>
      </c>
      <c r="H241" s="98">
        <v>167336</v>
      </c>
      <c r="I241" s="98">
        <v>596691</v>
      </c>
      <c r="J241" s="99"/>
      <c r="K241" s="98">
        <v>-12064</v>
      </c>
      <c r="L241" s="99"/>
      <c r="M241" s="99"/>
      <c r="N241" s="99"/>
      <c r="O241" s="99"/>
      <c r="P241" s="98">
        <v>1129963</v>
      </c>
    </row>
    <row r="242" spans="1:17" ht="15.75" thickBot="1" x14ac:dyDescent="0.25">
      <c r="A242" s="101"/>
      <c r="B242" s="100" t="s">
        <v>702</v>
      </c>
      <c r="C242" s="100" t="s">
        <v>702</v>
      </c>
      <c r="D242" s="99"/>
      <c r="E242" s="98">
        <v>644500</v>
      </c>
      <c r="F242" s="98">
        <v>644500</v>
      </c>
      <c r="G242" s="98">
        <v>644500</v>
      </c>
      <c r="H242" s="98">
        <v>644500</v>
      </c>
      <c r="I242" s="98">
        <v>1190680</v>
      </c>
      <c r="J242" s="99"/>
      <c r="K242" s="98">
        <v>448500</v>
      </c>
      <c r="L242" s="99"/>
      <c r="M242" s="99"/>
      <c r="N242" s="99"/>
      <c r="O242" s="99"/>
      <c r="P242" s="98">
        <v>4217180</v>
      </c>
    </row>
    <row r="243" spans="1:17" ht="15.75" thickBot="1" x14ac:dyDescent="0.25">
      <c r="A243" s="101"/>
      <c r="B243" s="100" t="s">
        <v>701</v>
      </c>
      <c r="C243" s="100" t="s">
        <v>700</v>
      </c>
      <c r="D243" s="99"/>
      <c r="E243" s="98">
        <v>22287076</v>
      </c>
      <c r="F243" s="98">
        <v>9260802</v>
      </c>
      <c r="G243" s="98">
        <v>14008380</v>
      </c>
      <c r="H243" s="98">
        <v>8912387</v>
      </c>
      <c r="I243" s="98">
        <v>6073901</v>
      </c>
      <c r="J243" s="98">
        <v>15328115</v>
      </c>
      <c r="K243" s="98">
        <v>13243205</v>
      </c>
      <c r="L243" s="98">
        <v>15564522</v>
      </c>
      <c r="M243" s="98">
        <v>11598915</v>
      </c>
      <c r="N243" s="98">
        <v>10784450</v>
      </c>
      <c r="O243" s="99"/>
      <c r="P243" s="98">
        <v>127061753</v>
      </c>
    </row>
    <row r="244" spans="1:17" ht="15.75" thickBot="1" x14ac:dyDescent="0.25">
      <c r="A244" s="101"/>
      <c r="B244" s="100"/>
      <c r="C244" s="100" t="s">
        <v>708</v>
      </c>
      <c r="D244" s="99"/>
      <c r="E244" s="99"/>
      <c r="F244" s="99"/>
      <c r="G244" s="99"/>
      <c r="H244" s="99"/>
      <c r="I244" s="99"/>
      <c r="J244" s="99"/>
      <c r="K244" s="99"/>
      <c r="L244" s="99"/>
      <c r="M244" s="99"/>
      <c r="N244" s="98">
        <v>19055830</v>
      </c>
      <c r="O244" s="98">
        <v>10338307</v>
      </c>
      <c r="P244" s="98">
        <v>29394137</v>
      </c>
    </row>
    <row r="245" spans="1:17" ht="30.75" thickBot="1" x14ac:dyDescent="0.25">
      <c r="A245" s="101"/>
      <c r="B245" s="100"/>
      <c r="C245" s="100" t="s">
        <v>716</v>
      </c>
      <c r="D245" s="99"/>
      <c r="E245" s="98">
        <v>18191</v>
      </c>
      <c r="F245" s="99"/>
      <c r="G245" s="99"/>
      <c r="H245" s="98">
        <v>17030</v>
      </c>
      <c r="I245" s="98">
        <v>56924</v>
      </c>
      <c r="J245" s="98">
        <v>10196</v>
      </c>
      <c r="K245" s="98">
        <v>39319</v>
      </c>
      <c r="L245" s="98">
        <v>33270</v>
      </c>
      <c r="M245" s="99"/>
      <c r="N245" s="98">
        <v>103049</v>
      </c>
      <c r="O245" s="99"/>
      <c r="P245" s="98">
        <v>277980</v>
      </c>
    </row>
    <row r="246" spans="1:17" ht="60.75" thickBot="1" x14ac:dyDescent="0.25">
      <c r="A246" s="101"/>
      <c r="B246" s="100" t="s">
        <v>699</v>
      </c>
      <c r="C246" s="100" t="s">
        <v>699</v>
      </c>
      <c r="D246" s="99"/>
      <c r="E246" s="99"/>
      <c r="F246" s="98">
        <v>100000</v>
      </c>
      <c r="G246" s="99"/>
      <c r="H246" s="99"/>
      <c r="I246" s="99"/>
      <c r="J246" s="99"/>
      <c r="K246" s="99"/>
      <c r="L246" s="99"/>
      <c r="M246" s="99"/>
      <c r="N246" s="98">
        <v>443500</v>
      </c>
      <c r="O246" s="99"/>
      <c r="P246" s="98">
        <v>543500</v>
      </c>
    </row>
    <row r="247" spans="1:17" ht="30.75" thickBot="1" x14ac:dyDescent="0.25">
      <c r="A247" s="97" t="s">
        <v>760</v>
      </c>
      <c r="B247" s="97"/>
      <c r="C247" s="97"/>
      <c r="D247" s="96"/>
      <c r="E247" s="95">
        <v>22949767</v>
      </c>
      <c r="F247" s="95">
        <v>10005302</v>
      </c>
      <c r="G247" s="95">
        <v>15030880</v>
      </c>
      <c r="H247" s="95">
        <v>9741253</v>
      </c>
      <c r="I247" s="95">
        <v>7918196</v>
      </c>
      <c r="J247" s="95">
        <v>15338311</v>
      </c>
      <c r="K247" s="95">
        <v>13718960</v>
      </c>
      <c r="L247" s="95">
        <v>21428793</v>
      </c>
      <c r="M247" s="95">
        <v>11598915</v>
      </c>
      <c r="N247" s="95">
        <v>34458829</v>
      </c>
      <c r="O247" s="95">
        <v>10338307</v>
      </c>
      <c r="P247" s="95">
        <v>172527513</v>
      </c>
      <c r="Q247" s="91" t="s">
        <v>617</v>
      </c>
    </row>
    <row r="248" spans="1:17" ht="15.75" thickBot="1" x14ac:dyDescent="0.25">
      <c r="A248" s="101" t="s">
        <v>40</v>
      </c>
      <c r="B248" s="100" t="s">
        <v>701</v>
      </c>
      <c r="C248" s="100" t="s">
        <v>700</v>
      </c>
      <c r="D248" s="99"/>
      <c r="E248" s="99"/>
      <c r="F248" s="99"/>
      <c r="G248" s="99"/>
      <c r="H248" s="99"/>
      <c r="I248" s="99"/>
      <c r="J248" s="99"/>
      <c r="K248" s="99"/>
      <c r="L248" s="98">
        <v>13500</v>
      </c>
      <c r="M248" s="98">
        <v>57882</v>
      </c>
      <c r="N248" s="98">
        <v>28491</v>
      </c>
      <c r="O248" s="99"/>
      <c r="P248" s="98">
        <v>99874</v>
      </c>
    </row>
    <row r="249" spans="1:17" ht="60.75" thickBot="1" x14ac:dyDescent="0.25">
      <c r="A249" s="101"/>
      <c r="B249" s="100" t="s">
        <v>699</v>
      </c>
      <c r="C249" s="100" t="s">
        <v>699</v>
      </c>
      <c r="D249" s="99"/>
      <c r="E249" s="99"/>
      <c r="F249" s="99"/>
      <c r="G249" s="99"/>
      <c r="H249" s="99"/>
      <c r="I249" s="99"/>
      <c r="J249" s="99"/>
      <c r="K249" s="99"/>
      <c r="L249" s="98">
        <v>100000</v>
      </c>
      <c r="M249" s="99"/>
      <c r="N249" s="99"/>
      <c r="O249" s="99"/>
      <c r="P249" s="98">
        <v>100000</v>
      </c>
    </row>
    <row r="250" spans="1:17" ht="30.75" thickBot="1" x14ac:dyDescent="0.25">
      <c r="A250" s="97" t="s">
        <v>759</v>
      </c>
      <c r="B250" s="97"/>
      <c r="C250" s="97"/>
      <c r="D250" s="96"/>
      <c r="E250" s="96"/>
      <c r="F250" s="96"/>
      <c r="G250" s="96"/>
      <c r="H250" s="96"/>
      <c r="I250" s="96"/>
      <c r="J250" s="96"/>
      <c r="K250" s="96"/>
      <c r="L250" s="95">
        <v>113500</v>
      </c>
      <c r="M250" s="95">
        <v>57882</v>
      </c>
      <c r="N250" s="95">
        <v>28491</v>
      </c>
      <c r="O250" s="96"/>
      <c r="P250" s="95">
        <v>199874</v>
      </c>
      <c r="Q250" s="91" t="s">
        <v>706</v>
      </c>
    </row>
    <row r="251" spans="1:17" ht="30.75" thickBot="1" x14ac:dyDescent="0.25">
      <c r="A251" s="101" t="s">
        <v>758</v>
      </c>
      <c r="B251" s="100" t="s">
        <v>665</v>
      </c>
      <c r="C251" s="100" t="s">
        <v>665</v>
      </c>
      <c r="D251" s="99"/>
      <c r="E251" s="99"/>
      <c r="F251" s="99"/>
      <c r="G251" s="99"/>
      <c r="H251" s="99"/>
      <c r="I251" s="99"/>
      <c r="J251" s="99"/>
      <c r="K251" s="99"/>
      <c r="L251" s="98">
        <v>450500</v>
      </c>
      <c r="M251" s="98">
        <v>1308000</v>
      </c>
      <c r="N251" s="98">
        <v>402600</v>
      </c>
      <c r="O251" s="99"/>
      <c r="P251" s="98">
        <v>2161100</v>
      </c>
    </row>
    <row r="252" spans="1:17" ht="15.75" thickBot="1" x14ac:dyDescent="0.25">
      <c r="A252" s="101"/>
      <c r="B252" s="100" t="s">
        <v>703</v>
      </c>
      <c r="C252" s="100" t="s">
        <v>703</v>
      </c>
      <c r="D252" s="99"/>
      <c r="E252" s="99"/>
      <c r="F252" s="98">
        <v>485855</v>
      </c>
      <c r="G252" s="98">
        <v>253637</v>
      </c>
      <c r="H252" s="99"/>
      <c r="I252" s="98">
        <v>5463</v>
      </c>
      <c r="J252" s="99">
        <v>-456</v>
      </c>
      <c r="K252" s="99">
        <v>-773</v>
      </c>
      <c r="L252" s="99"/>
      <c r="M252" s="99"/>
      <c r="N252" s="99"/>
      <c r="O252" s="99"/>
      <c r="P252" s="98">
        <v>743726</v>
      </c>
    </row>
    <row r="253" spans="1:17" ht="15.75" thickBot="1" x14ac:dyDescent="0.25">
      <c r="A253" s="101"/>
      <c r="B253" s="100" t="s">
        <v>702</v>
      </c>
      <c r="C253" s="100" t="s">
        <v>702</v>
      </c>
      <c r="D253" s="99"/>
      <c r="E253" s="99"/>
      <c r="F253" s="99"/>
      <c r="G253" s="98">
        <v>297200</v>
      </c>
      <c r="H253" s="98">
        <v>297871</v>
      </c>
      <c r="I253" s="98">
        <v>594400</v>
      </c>
      <c r="J253" s="99"/>
      <c r="K253" s="99"/>
      <c r="L253" s="99"/>
      <c r="M253" s="98">
        <v>909000</v>
      </c>
      <c r="N253" s="98">
        <v>124500</v>
      </c>
      <c r="O253" s="99"/>
      <c r="P253" s="98">
        <v>2222971</v>
      </c>
    </row>
    <row r="254" spans="1:17" ht="30.75" thickBot="1" x14ac:dyDescent="0.25">
      <c r="A254" s="101"/>
      <c r="B254" s="100" t="s">
        <v>701</v>
      </c>
      <c r="C254" s="100" t="s">
        <v>710</v>
      </c>
      <c r="D254" s="99"/>
      <c r="E254" s="99"/>
      <c r="F254" s="99"/>
      <c r="G254" s="98">
        <v>357645</v>
      </c>
      <c r="H254" s="98">
        <v>256700</v>
      </c>
      <c r="I254" s="98">
        <v>1280546</v>
      </c>
      <c r="J254" s="98">
        <v>83263</v>
      </c>
      <c r="K254" s="98">
        <v>-4653</v>
      </c>
      <c r="L254" s="98">
        <v>71635</v>
      </c>
      <c r="M254" s="98">
        <v>-1631</v>
      </c>
      <c r="N254" s="99"/>
      <c r="O254" s="99"/>
      <c r="P254" s="98">
        <v>2043505</v>
      </c>
    </row>
    <row r="255" spans="1:17" ht="15.75" thickBot="1" x14ac:dyDescent="0.25">
      <c r="A255" s="101"/>
      <c r="B255" s="100"/>
      <c r="C255" s="100" t="s">
        <v>640</v>
      </c>
      <c r="D255" s="99"/>
      <c r="E255" s="99"/>
      <c r="F255" s="99"/>
      <c r="G255" s="99"/>
      <c r="H255" s="99"/>
      <c r="I255" s="99"/>
      <c r="J255" s="99"/>
      <c r="K255" s="99"/>
      <c r="L255" s="99"/>
      <c r="M255" s="99"/>
      <c r="N255" s="98">
        <v>821500</v>
      </c>
      <c r="O255" s="99"/>
      <c r="P255" s="98">
        <v>821500</v>
      </c>
    </row>
    <row r="256" spans="1:17" ht="45.75" thickBot="1" x14ac:dyDescent="0.25">
      <c r="A256" s="101"/>
      <c r="B256" s="100"/>
      <c r="C256" s="100" t="s">
        <v>720</v>
      </c>
      <c r="D256" s="99"/>
      <c r="E256" s="99"/>
      <c r="F256" s="99"/>
      <c r="G256" s="99"/>
      <c r="H256" s="99"/>
      <c r="I256" s="99"/>
      <c r="J256" s="98">
        <v>2007197</v>
      </c>
      <c r="K256" s="98">
        <v>1173335</v>
      </c>
      <c r="L256" s="98">
        <v>882798</v>
      </c>
      <c r="M256" s="98">
        <v>1059302</v>
      </c>
      <c r="N256" s="98">
        <v>579125</v>
      </c>
      <c r="O256" s="99"/>
      <c r="P256" s="98">
        <v>5701757</v>
      </c>
    </row>
    <row r="257" spans="1:17" ht="60.75" thickBot="1" x14ac:dyDescent="0.25">
      <c r="A257" s="101"/>
      <c r="B257" s="100" t="s">
        <v>699</v>
      </c>
      <c r="C257" s="100" t="s">
        <v>699</v>
      </c>
      <c r="D257" s="99"/>
      <c r="E257" s="99"/>
      <c r="F257" s="99"/>
      <c r="G257" s="98">
        <v>100000</v>
      </c>
      <c r="H257" s="99"/>
      <c r="I257" s="99"/>
      <c r="J257" s="99"/>
      <c r="K257" s="99"/>
      <c r="L257" s="98">
        <v>127500</v>
      </c>
      <c r="M257" s="99"/>
      <c r="N257" s="99"/>
      <c r="O257" s="99"/>
      <c r="P257" s="98">
        <v>227500</v>
      </c>
    </row>
    <row r="258" spans="1:17" ht="45.75" thickBot="1" x14ac:dyDescent="0.25">
      <c r="A258" s="97" t="s">
        <v>757</v>
      </c>
      <c r="B258" s="97"/>
      <c r="C258" s="97"/>
      <c r="D258" s="96"/>
      <c r="E258" s="96"/>
      <c r="F258" s="95">
        <v>485855</v>
      </c>
      <c r="G258" s="95">
        <v>1008482</v>
      </c>
      <c r="H258" s="95">
        <v>554572</v>
      </c>
      <c r="I258" s="95">
        <v>1880409</v>
      </c>
      <c r="J258" s="95">
        <v>2090004</v>
      </c>
      <c r="K258" s="95">
        <v>1167909</v>
      </c>
      <c r="L258" s="95">
        <v>1532433</v>
      </c>
      <c r="M258" s="95">
        <v>3274671</v>
      </c>
      <c r="N258" s="95">
        <v>1927725</v>
      </c>
      <c r="O258" s="96"/>
      <c r="P258" s="95">
        <v>13922059</v>
      </c>
      <c r="Q258" s="91" t="s">
        <v>617</v>
      </c>
    </row>
    <row r="259" spans="1:17" ht="30.75" thickBot="1" x14ac:dyDescent="0.25">
      <c r="A259" s="101" t="s">
        <v>756</v>
      </c>
      <c r="B259" s="100" t="s">
        <v>665</v>
      </c>
      <c r="C259" s="100" t="s">
        <v>665</v>
      </c>
      <c r="D259" s="99"/>
      <c r="E259" s="99"/>
      <c r="F259" s="99"/>
      <c r="G259" s="99"/>
      <c r="H259" s="99"/>
      <c r="I259" s="99"/>
      <c r="J259" s="99"/>
      <c r="K259" s="98">
        <v>424000</v>
      </c>
      <c r="L259" s="98">
        <v>255500</v>
      </c>
      <c r="M259" s="98">
        <v>255500</v>
      </c>
      <c r="N259" s="99"/>
      <c r="O259" s="99"/>
      <c r="P259" s="98">
        <v>935000</v>
      </c>
    </row>
    <row r="260" spans="1:17" ht="15.75" thickBot="1" x14ac:dyDescent="0.25">
      <c r="A260" s="101"/>
      <c r="B260" s="100" t="s">
        <v>703</v>
      </c>
      <c r="C260" s="100" t="s">
        <v>703</v>
      </c>
      <c r="D260" s="99"/>
      <c r="E260" s="99"/>
      <c r="F260" s="99"/>
      <c r="G260" s="98">
        <v>62487</v>
      </c>
      <c r="H260" s="99"/>
      <c r="I260" s="98">
        <v>117508</v>
      </c>
      <c r="J260" s="99"/>
      <c r="K260" s="98">
        <v>9173</v>
      </c>
      <c r="L260" s="99"/>
      <c r="M260" s="99"/>
      <c r="N260" s="99"/>
      <c r="O260" s="99"/>
      <c r="P260" s="98">
        <v>189168</v>
      </c>
    </row>
    <row r="261" spans="1:17" ht="15.75" thickBot="1" x14ac:dyDescent="0.25">
      <c r="A261" s="101"/>
      <c r="B261" s="100" t="s">
        <v>702</v>
      </c>
      <c r="C261" s="100" t="s">
        <v>702</v>
      </c>
      <c r="D261" s="99"/>
      <c r="E261" s="99"/>
      <c r="F261" s="99"/>
      <c r="G261" s="99"/>
      <c r="H261" s="99"/>
      <c r="I261" s="99"/>
      <c r="J261" s="98">
        <v>34000</v>
      </c>
      <c r="K261" s="98">
        <v>34000</v>
      </c>
      <c r="L261" s="99"/>
      <c r="M261" s="98">
        <v>68000</v>
      </c>
      <c r="N261" s="99"/>
      <c r="O261" s="99"/>
      <c r="P261" s="98">
        <v>136000</v>
      </c>
    </row>
    <row r="262" spans="1:17" ht="30.75" thickBot="1" x14ac:dyDescent="0.25">
      <c r="A262" s="101"/>
      <c r="B262" s="100" t="s">
        <v>701</v>
      </c>
      <c r="C262" s="100" t="s">
        <v>710</v>
      </c>
      <c r="D262" s="99"/>
      <c r="E262" s="98">
        <v>436035</v>
      </c>
      <c r="F262" s="98">
        <v>222996</v>
      </c>
      <c r="G262" s="98">
        <v>262936</v>
      </c>
      <c r="H262" s="99"/>
      <c r="I262" s="98">
        <v>-315252</v>
      </c>
      <c r="J262" s="98">
        <v>229712</v>
      </c>
      <c r="K262" s="98">
        <v>100445</v>
      </c>
      <c r="L262" s="98">
        <v>26394</v>
      </c>
      <c r="M262" s="99"/>
      <c r="N262" s="99"/>
      <c r="O262" s="99"/>
      <c r="P262" s="98">
        <v>963267</v>
      </c>
    </row>
    <row r="263" spans="1:17" ht="15.75" thickBot="1" x14ac:dyDescent="0.25">
      <c r="A263" s="101"/>
      <c r="B263" s="100"/>
      <c r="C263" s="100" t="s">
        <v>700</v>
      </c>
      <c r="D263" s="99"/>
      <c r="E263" s="99"/>
      <c r="F263" s="99"/>
      <c r="G263" s="99"/>
      <c r="H263" s="99"/>
      <c r="I263" s="99"/>
      <c r="J263" s="99"/>
      <c r="K263" s="99"/>
      <c r="L263" s="98">
        <v>1487110</v>
      </c>
      <c r="M263" s="98">
        <v>703029</v>
      </c>
      <c r="N263" s="98">
        <v>1806903</v>
      </c>
      <c r="O263" s="99"/>
      <c r="P263" s="98">
        <v>3997042</v>
      </c>
    </row>
    <row r="264" spans="1:17" ht="60.75" thickBot="1" x14ac:dyDescent="0.25">
      <c r="A264" s="101"/>
      <c r="B264" s="100" t="s">
        <v>699</v>
      </c>
      <c r="C264" s="100" t="s">
        <v>699</v>
      </c>
      <c r="D264" s="99"/>
      <c r="E264" s="99"/>
      <c r="F264" s="98">
        <v>100000</v>
      </c>
      <c r="G264" s="99"/>
      <c r="H264" s="99"/>
      <c r="I264" s="99"/>
      <c r="J264" s="99"/>
      <c r="K264" s="99"/>
      <c r="L264" s="99">
        <v>0</v>
      </c>
      <c r="M264" s="98">
        <v>100000</v>
      </c>
      <c r="N264" s="99"/>
      <c r="O264" s="99"/>
      <c r="P264" s="98">
        <v>200000</v>
      </c>
    </row>
    <row r="265" spans="1:17" ht="30.75" thickBot="1" x14ac:dyDescent="0.25">
      <c r="A265" s="97" t="s">
        <v>755</v>
      </c>
      <c r="B265" s="97"/>
      <c r="C265" s="97"/>
      <c r="D265" s="96"/>
      <c r="E265" s="95">
        <v>436035</v>
      </c>
      <c r="F265" s="95">
        <v>322996</v>
      </c>
      <c r="G265" s="95">
        <v>325423</v>
      </c>
      <c r="H265" s="96"/>
      <c r="I265" s="95">
        <v>-197744</v>
      </c>
      <c r="J265" s="95">
        <v>263712</v>
      </c>
      <c r="K265" s="95">
        <v>567618</v>
      </c>
      <c r="L265" s="95">
        <v>1769004</v>
      </c>
      <c r="M265" s="95">
        <v>1126529</v>
      </c>
      <c r="N265" s="95">
        <v>1806903</v>
      </c>
      <c r="O265" s="96"/>
      <c r="P265" s="95">
        <v>6420477</v>
      </c>
      <c r="Q265" s="91" t="s">
        <v>617</v>
      </c>
    </row>
    <row r="266" spans="1:17" ht="15.75" thickBot="1" x14ac:dyDescent="0.25">
      <c r="A266" s="101" t="s">
        <v>86</v>
      </c>
      <c r="B266" s="100" t="s">
        <v>703</v>
      </c>
      <c r="C266" s="100" t="s">
        <v>703</v>
      </c>
      <c r="D266" s="99"/>
      <c r="E266" s="99"/>
      <c r="F266" s="98">
        <v>219364</v>
      </c>
      <c r="G266" s="98">
        <v>55052</v>
      </c>
      <c r="H266" s="99"/>
      <c r="I266" s="98">
        <v>-18873</v>
      </c>
      <c r="J266" s="99">
        <v>-38</v>
      </c>
      <c r="K266" s="99"/>
      <c r="L266" s="99"/>
      <c r="M266" s="99"/>
      <c r="N266" s="99"/>
      <c r="O266" s="99"/>
      <c r="P266" s="98">
        <v>255505</v>
      </c>
    </row>
    <row r="267" spans="1:17" ht="15.75" thickBot="1" x14ac:dyDescent="0.25">
      <c r="A267" s="101"/>
      <c r="B267" s="100" t="s">
        <v>702</v>
      </c>
      <c r="C267" s="100" t="s">
        <v>702</v>
      </c>
      <c r="D267" s="99"/>
      <c r="E267" s="99"/>
      <c r="F267" s="98">
        <v>357800</v>
      </c>
      <c r="G267" s="98">
        <v>357800</v>
      </c>
      <c r="H267" s="98">
        <v>357800</v>
      </c>
      <c r="I267" s="98">
        <v>357800</v>
      </c>
      <c r="J267" s="99"/>
      <c r="K267" s="99"/>
      <c r="L267" s="99"/>
      <c r="M267" s="99"/>
      <c r="N267" s="99"/>
      <c r="O267" s="99"/>
      <c r="P267" s="98">
        <v>1431200</v>
      </c>
    </row>
    <row r="268" spans="1:17" ht="30.75" thickBot="1" x14ac:dyDescent="0.25">
      <c r="A268" s="101"/>
      <c r="B268" s="100" t="s">
        <v>701</v>
      </c>
      <c r="C268" s="100" t="s">
        <v>710</v>
      </c>
      <c r="D268" s="99"/>
      <c r="E268" s="99"/>
      <c r="F268" s="99"/>
      <c r="G268" s="99"/>
      <c r="H268" s="99"/>
      <c r="I268" s="98">
        <v>18308</v>
      </c>
      <c r="J268" s="98">
        <v>-5887</v>
      </c>
      <c r="K268" s="98">
        <v>13746</v>
      </c>
      <c r="L268" s="98">
        <v>56769</v>
      </c>
      <c r="M268" s="99">
        <v>-613</v>
      </c>
      <c r="N268" s="99">
        <v>532</v>
      </c>
      <c r="O268" s="99"/>
      <c r="P268" s="98">
        <v>82855</v>
      </c>
    </row>
    <row r="269" spans="1:17" ht="15.75" thickBot="1" x14ac:dyDescent="0.25">
      <c r="A269" s="101"/>
      <c r="B269" s="100"/>
      <c r="C269" s="100" t="s">
        <v>700</v>
      </c>
      <c r="D269" s="99"/>
      <c r="E269" s="99"/>
      <c r="F269" s="99"/>
      <c r="G269" s="99"/>
      <c r="H269" s="99"/>
      <c r="I269" s="99"/>
      <c r="J269" s="99"/>
      <c r="K269" s="99"/>
      <c r="L269" s="99"/>
      <c r="M269" s="98">
        <v>802018</v>
      </c>
      <c r="N269" s="98">
        <v>3375338</v>
      </c>
      <c r="O269" s="99"/>
      <c r="P269" s="98">
        <v>4177356</v>
      </c>
    </row>
    <row r="270" spans="1:17" ht="45.75" thickBot="1" x14ac:dyDescent="0.25">
      <c r="A270" s="101"/>
      <c r="B270" s="100"/>
      <c r="C270" s="100" t="s">
        <v>720</v>
      </c>
      <c r="D270" s="99"/>
      <c r="E270" s="98">
        <v>1202644</v>
      </c>
      <c r="F270" s="98">
        <v>967514</v>
      </c>
      <c r="G270" s="98">
        <v>1007721</v>
      </c>
      <c r="H270" s="98">
        <v>1184908</v>
      </c>
      <c r="I270" s="98">
        <v>-1430316</v>
      </c>
      <c r="J270" s="98">
        <v>383964</v>
      </c>
      <c r="K270" s="98">
        <v>211715</v>
      </c>
      <c r="L270" s="98">
        <v>620862</v>
      </c>
      <c r="M270" s="98">
        <v>-311899</v>
      </c>
      <c r="N270" s="99"/>
      <c r="O270" s="99"/>
      <c r="P270" s="98">
        <v>3837114</v>
      </c>
    </row>
    <row r="271" spans="1:17" ht="60.75" thickBot="1" x14ac:dyDescent="0.25">
      <c r="A271" s="101"/>
      <c r="B271" s="100" t="s">
        <v>699</v>
      </c>
      <c r="C271" s="100" t="s">
        <v>699</v>
      </c>
      <c r="D271" s="99"/>
      <c r="E271" s="99"/>
      <c r="F271" s="98">
        <v>100000</v>
      </c>
      <c r="G271" s="99"/>
      <c r="H271" s="99"/>
      <c r="I271" s="99"/>
      <c r="J271" s="99"/>
      <c r="K271" s="99"/>
      <c r="L271" s="99"/>
      <c r="M271" s="98">
        <v>100000</v>
      </c>
      <c r="N271" s="99"/>
      <c r="O271" s="99"/>
      <c r="P271" s="98">
        <v>200000</v>
      </c>
    </row>
    <row r="272" spans="1:17" ht="30.75" thickBot="1" x14ac:dyDescent="0.25">
      <c r="A272" s="97" t="s">
        <v>754</v>
      </c>
      <c r="B272" s="97"/>
      <c r="C272" s="97"/>
      <c r="D272" s="96"/>
      <c r="E272" s="95">
        <v>1202644</v>
      </c>
      <c r="F272" s="95">
        <v>1644678</v>
      </c>
      <c r="G272" s="95">
        <v>1420573</v>
      </c>
      <c r="H272" s="95">
        <v>1542708</v>
      </c>
      <c r="I272" s="95">
        <v>-1073081</v>
      </c>
      <c r="J272" s="95">
        <v>378039</v>
      </c>
      <c r="K272" s="95">
        <v>225461</v>
      </c>
      <c r="L272" s="95">
        <v>677630</v>
      </c>
      <c r="M272" s="95">
        <v>589506</v>
      </c>
      <c r="N272" s="95">
        <v>3375870</v>
      </c>
      <c r="O272" s="96"/>
      <c r="P272" s="95">
        <v>9984029</v>
      </c>
      <c r="Q272" s="91" t="s">
        <v>706</v>
      </c>
    </row>
    <row r="273" spans="1:17" ht="15.75" thickBot="1" x14ac:dyDescent="0.25">
      <c r="A273" s="101" t="s">
        <v>38</v>
      </c>
      <c r="B273" s="100" t="s">
        <v>703</v>
      </c>
      <c r="C273" s="100" t="s">
        <v>703</v>
      </c>
      <c r="D273" s="99"/>
      <c r="E273" s="99"/>
      <c r="F273" s="99"/>
      <c r="G273" s="98">
        <v>74997</v>
      </c>
      <c r="H273" s="99"/>
      <c r="I273" s="98">
        <v>31636</v>
      </c>
      <c r="J273" s="99"/>
      <c r="K273" s="99"/>
      <c r="L273" s="99"/>
      <c r="M273" s="99"/>
      <c r="N273" s="99"/>
      <c r="O273" s="99"/>
      <c r="P273" s="98">
        <v>106633</v>
      </c>
    </row>
    <row r="274" spans="1:17" ht="15.75" thickBot="1" x14ac:dyDescent="0.25">
      <c r="A274" s="101"/>
      <c r="B274" s="100" t="s">
        <v>702</v>
      </c>
      <c r="C274" s="100" t="s">
        <v>702</v>
      </c>
      <c r="D274" s="99"/>
      <c r="E274" s="99"/>
      <c r="F274" s="98">
        <v>37400</v>
      </c>
      <c r="G274" s="98">
        <v>37400</v>
      </c>
      <c r="H274" s="98">
        <v>74800</v>
      </c>
      <c r="I274" s="99"/>
      <c r="J274" s="99"/>
      <c r="K274" s="99"/>
      <c r="L274" s="99"/>
      <c r="M274" s="99"/>
      <c r="N274" s="99"/>
      <c r="O274" s="99"/>
      <c r="P274" s="98">
        <v>149600</v>
      </c>
    </row>
    <row r="275" spans="1:17" ht="30.75" thickBot="1" x14ac:dyDescent="0.25">
      <c r="A275" s="101"/>
      <c r="B275" s="100" t="s">
        <v>701</v>
      </c>
      <c r="C275" s="100" t="s">
        <v>710</v>
      </c>
      <c r="D275" s="99"/>
      <c r="E275" s="99"/>
      <c r="F275" s="98">
        <v>66636</v>
      </c>
      <c r="G275" s="98">
        <v>36465</v>
      </c>
      <c r="H275" s="98">
        <v>30379</v>
      </c>
      <c r="I275" s="98">
        <v>79119</v>
      </c>
      <c r="J275" s="98">
        <v>28038</v>
      </c>
      <c r="K275" s="98">
        <v>56470</v>
      </c>
      <c r="L275" s="98">
        <v>21132</v>
      </c>
      <c r="M275" s="98">
        <v>-5175</v>
      </c>
      <c r="N275" s="99"/>
      <c r="O275" s="99"/>
      <c r="P275" s="98">
        <v>313064</v>
      </c>
    </row>
    <row r="276" spans="1:17" ht="15.75" thickBot="1" x14ac:dyDescent="0.25">
      <c r="A276" s="101"/>
      <c r="B276" s="100"/>
      <c r="C276" s="100" t="s">
        <v>700</v>
      </c>
      <c r="D276" s="99"/>
      <c r="E276" s="99"/>
      <c r="F276" s="99"/>
      <c r="G276" s="99"/>
      <c r="H276" s="99"/>
      <c r="I276" s="99"/>
      <c r="J276" s="99"/>
      <c r="K276" s="99"/>
      <c r="L276" s="98">
        <v>339102</v>
      </c>
      <c r="M276" s="98">
        <v>326328</v>
      </c>
      <c r="N276" s="98">
        <v>847929</v>
      </c>
      <c r="O276" s="98">
        <v>-20458</v>
      </c>
      <c r="P276" s="98">
        <v>1492901</v>
      </c>
    </row>
    <row r="277" spans="1:17" ht="60.75" thickBot="1" x14ac:dyDescent="0.25">
      <c r="A277" s="101"/>
      <c r="B277" s="100" t="s">
        <v>699</v>
      </c>
      <c r="C277" s="100" t="s">
        <v>699</v>
      </c>
      <c r="D277" s="99"/>
      <c r="E277" s="99"/>
      <c r="F277" s="99"/>
      <c r="G277" s="98">
        <v>100000</v>
      </c>
      <c r="H277" s="99"/>
      <c r="I277" s="99"/>
      <c r="J277" s="99"/>
      <c r="K277" s="99"/>
      <c r="L277" s="98">
        <v>100000</v>
      </c>
      <c r="M277" s="99"/>
      <c r="N277" s="99"/>
      <c r="O277" s="99"/>
      <c r="P277" s="98">
        <v>200000</v>
      </c>
    </row>
    <row r="278" spans="1:17" ht="30.75" thickBot="1" x14ac:dyDescent="0.25">
      <c r="A278" s="97" t="s">
        <v>753</v>
      </c>
      <c r="B278" s="97"/>
      <c r="C278" s="97"/>
      <c r="D278" s="96"/>
      <c r="E278" s="96"/>
      <c r="F278" s="95">
        <v>104036</v>
      </c>
      <c r="G278" s="95">
        <v>248862</v>
      </c>
      <c r="H278" s="95">
        <v>105179</v>
      </c>
      <c r="I278" s="95">
        <v>110755</v>
      </c>
      <c r="J278" s="95">
        <v>28038</v>
      </c>
      <c r="K278" s="95">
        <v>56470</v>
      </c>
      <c r="L278" s="95">
        <v>460234</v>
      </c>
      <c r="M278" s="95">
        <v>321153</v>
      </c>
      <c r="N278" s="95">
        <v>847929</v>
      </c>
      <c r="O278" s="95">
        <v>-20458</v>
      </c>
      <c r="P278" s="95">
        <v>2262199</v>
      </c>
      <c r="Q278" s="91" t="s">
        <v>706</v>
      </c>
    </row>
    <row r="279" spans="1:17" ht="15.75" thickBot="1" x14ac:dyDescent="0.25">
      <c r="A279" s="101" t="s">
        <v>85</v>
      </c>
      <c r="B279" s="100" t="s">
        <v>665</v>
      </c>
      <c r="C279" s="100" t="s">
        <v>665</v>
      </c>
      <c r="D279" s="99"/>
      <c r="E279" s="99"/>
      <c r="F279" s="99"/>
      <c r="G279" s="99"/>
      <c r="H279" s="99"/>
      <c r="I279" s="99"/>
      <c r="J279" s="99"/>
      <c r="K279" s="98">
        <v>1022500</v>
      </c>
      <c r="L279" s="98">
        <v>1022500</v>
      </c>
      <c r="M279" s="99"/>
      <c r="N279" s="98">
        <v>1022500</v>
      </c>
      <c r="O279" s="99"/>
      <c r="P279" s="98">
        <v>3067500</v>
      </c>
    </row>
    <row r="280" spans="1:17" ht="15.75" thickBot="1" x14ac:dyDescent="0.25">
      <c r="A280" s="101"/>
      <c r="B280" s="100" t="s">
        <v>703</v>
      </c>
      <c r="C280" s="100" t="s">
        <v>703</v>
      </c>
      <c r="D280" s="99"/>
      <c r="E280" s="99"/>
      <c r="F280" s="99"/>
      <c r="G280" s="99"/>
      <c r="H280" s="99"/>
      <c r="I280" s="99"/>
      <c r="J280" s="98">
        <v>172500</v>
      </c>
      <c r="K280" s="98">
        <v>94000</v>
      </c>
      <c r="L280" s="99"/>
      <c r="M280" s="99"/>
      <c r="N280" s="99"/>
      <c r="O280" s="99"/>
      <c r="P280" s="98">
        <v>266500</v>
      </c>
    </row>
    <row r="281" spans="1:17" ht="15.75" thickBot="1" x14ac:dyDescent="0.25">
      <c r="A281" s="101"/>
      <c r="B281" s="100" t="s">
        <v>702</v>
      </c>
      <c r="C281" s="100" t="s">
        <v>702</v>
      </c>
      <c r="D281" s="99"/>
      <c r="E281" s="98">
        <v>305500</v>
      </c>
      <c r="F281" s="98">
        <v>305500</v>
      </c>
      <c r="G281" s="98">
        <v>305500</v>
      </c>
      <c r="H281" s="98">
        <v>305500</v>
      </c>
      <c r="I281" s="99"/>
      <c r="J281" s="98">
        <v>193750</v>
      </c>
      <c r="K281" s="98">
        <v>387500</v>
      </c>
      <c r="L281" s="99"/>
      <c r="M281" s="98">
        <v>385500</v>
      </c>
      <c r="N281" s="99"/>
      <c r="O281" s="99"/>
      <c r="P281" s="98">
        <v>2188750</v>
      </c>
    </row>
    <row r="282" spans="1:17" ht="15.75" thickBot="1" x14ac:dyDescent="0.25">
      <c r="A282" s="101"/>
      <c r="B282" s="100" t="s">
        <v>701</v>
      </c>
      <c r="C282" s="100" t="s">
        <v>700</v>
      </c>
      <c r="D282" s="99"/>
      <c r="E282" s="99"/>
      <c r="F282" s="99"/>
      <c r="G282" s="99"/>
      <c r="H282" s="99"/>
      <c r="I282" s="99"/>
      <c r="J282" s="99"/>
      <c r="K282" s="98">
        <v>1030793</v>
      </c>
      <c r="L282" s="98">
        <v>1913443</v>
      </c>
      <c r="M282" s="98">
        <v>1760596</v>
      </c>
      <c r="N282" s="98">
        <v>748850</v>
      </c>
      <c r="O282" s="99"/>
      <c r="P282" s="98">
        <v>5453682</v>
      </c>
    </row>
    <row r="283" spans="1:17" ht="30.75" thickBot="1" x14ac:dyDescent="0.25">
      <c r="A283" s="101"/>
      <c r="B283" s="100"/>
      <c r="C283" s="100" t="s">
        <v>716</v>
      </c>
      <c r="D283" s="99"/>
      <c r="E283" s="98">
        <v>68267</v>
      </c>
      <c r="F283" s="99"/>
      <c r="G283" s="99"/>
      <c r="H283" s="99"/>
      <c r="I283" s="98">
        <v>292179</v>
      </c>
      <c r="J283" s="98">
        <v>114572</v>
      </c>
      <c r="K283" s="98">
        <v>104458</v>
      </c>
      <c r="L283" s="98">
        <v>101516</v>
      </c>
      <c r="M283" s="98">
        <v>266289</v>
      </c>
      <c r="N283" s="98">
        <v>106841</v>
      </c>
      <c r="O283" s="99"/>
      <c r="P283" s="98">
        <v>1054122</v>
      </c>
    </row>
    <row r="284" spans="1:17" ht="60.75" thickBot="1" x14ac:dyDescent="0.25">
      <c r="A284" s="101"/>
      <c r="B284" s="100" t="s">
        <v>699</v>
      </c>
      <c r="C284" s="100" t="s">
        <v>699</v>
      </c>
      <c r="D284" s="99"/>
      <c r="E284" s="99"/>
      <c r="F284" s="98">
        <v>100000</v>
      </c>
      <c r="G284" s="99"/>
      <c r="H284" s="99"/>
      <c r="I284" s="99"/>
      <c r="J284" s="99"/>
      <c r="K284" s="98">
        <v>100000</v>
      </c>
      <c r="L284" s="99"/>
      <c r="M284" s="99"/>
      <c r="N284" s="99"/>
      <c r="O284" s="99"/>
      <c r="P284" s="98">
        <v>200000</v>
      </c>
    </row>
    <row r="285" spans="1:17" ht="30.75" thickBot="1" x14ac:dyDescent="0.25">
      <c r="A285" s="97" t="s">
        <v>752</v>
      </c>
      <c r="B285" s="97"/>
      <c r="C285" s="97"/>
      <c r="D285" s="96"/>
      <c r="E285" s="95">
        <v>373767</v>
      </c>
      <c r="F285" s="95">
        <v>405500</v>
      </c>
      <c r="G285" s="95">
        <v>305500</v>
      </c>
      <c r="H285" s="95">
        <v>305500</v>
      </c>
      <c r="I285" s="95">
        <v>292179</v>
      </c>
      <c r="J285" s="95">
        <v>480822</v>
      </c>
      <c r="K285" s="95">
        <v>2739251</v>
      </c>
      <c r="L285" s="95">
        <v>3037459</v>
      </c>
      <c r="M285" s="95">
        <v>2412385</v>
      </c>
      <c r="N285" s="95">
        <v>1878191</v>
      </c>
      <c r="O285" s="96"/>
      <c r="P285" s="95">
        <v>12230554</v>
      </c>
      <c r="Q285" s="91" t="s">
        <v>617</v>
      </c>
    </row>
    <row r="286" spans="1:17" ht="30.75" thickBot="1" x14ac:dyDescent="0.25">
      <c r="A286" s="101" t="s">
        <v>84</v>
      </c>
      <c r="B286" s="100" t="s">
        <v>665</v>
      </c>
      <c r="C286" s="100" t="s">
        <v>665</v>
      </c>
      <c r="D286" s="99"/>
      <c r="E286" s="99"/>
      <c r="F286" s="99"/>
      <c r="G286" s="99"/>
      <c r="H286" s="99"/>
      <c r="I286" s="99"/>
      <c r="J286" s="99"/>
      <c r="K286" s="99"/>
      <c r="L286" s="98">
        <v>811000</v>
      </c>
      <c r="M286" s="99"/>
      <c r="N286" s="98">
        <v>1704500</v>
      </c>
      <c r="O286" s="98">
        <v>5151500</v>
      </c>
      <c r="P286" s="98">
        <v>7667000</v>
      </c>
    </row>
    <row r="287" spans="1:17" ht="15.75" thickBot="1" x14ac:dyDescent="0.25">
      <c r="A287" s="101"/>
      <c r="B287" s="100" t="s">
        <v>703</v>
      </c>
      <c r="C287" s="100" t="s">
        <v>703</v>
      </c>
      <c r="D287" s="99"/>
      <c r="E287" s="99"/>
      <c r="F287" s="99"/>
      <c r="G287" s="99"/>
      <c r="H287" s="99"/>
      <c r="I287" s="98">
        <v>128745</v>
      </c>
      <c r="J287" s="98">
        <v>182475</v>
      </c>
      <c r="K287" s="98">
        <v>253203</v>
      </c>
      <c r="L287" s="98">
        <v>95815</v>
      </c>
      <c r="M287" s="98">
        <v>-44683</v>
      </c>
      <c r="N287" s="99"/>
      <c r="O287" s="99"/>
      <c r="P287" s="98">
        <v>615555</v>
      </c>
    </row>
    <row r="288" spans="1:17" ht="15.75" thickBot="1" x14ac:dyDescent="0.25">
      <c r="A288" s="101"/>
      <c r="B288" s="100" t="s">
        <v>702</v>
      </c>
      <c r="C288" s="100" t="s">
        <v>702</v>
      </c>
      <c r="D288" s="98">
        <v>233000</v>
      </c>
      <c r="E288" s="99"/>
      <c r="F288" s="98">
        <v>233500</v>
      </c>
      <c r="G288" s="98">
        <v>233500</v>
      </c>
      <c r="H288" s="98">
        <v>233500</v>
      </c>
      <c r="I288" s="99"/>
      <c r="J288" s="98">
        <v>1021500</v>
      </c>
      <c r="K288" s="98">
        <v>1288000</v>
      </c>
      <c r="L288" s="99"/>
      <c r="M288" s="99"/>
      <c r="N288" s="99"/>
      <c r="O288" s="99"/>
      <c r="P288" s="98">
        <v>3243000</v>
      </c>
    </row>
    <row r="289" spans="1:17" ht="15.75" thickBot="1" x14ac:dyDescent="0.25">
      <c r="A289" s="101"/>
      <c r="B289" s="100" t="s">
        <v>701</v>
      </c>
      <c r="C289" s="100" t="s">
        <v>700</v>
      </c>
      <c r="D289" s="99"/>
      <c r="E289" s="99"/>
      <c r="F289" s="99"/>
      <c r="G289" s="99"/>
      <c r="H289" s="99"/>
      <c r="I289" s="99"/>
      <c r="J289" s="99"/>
      <c r="K289" s="99"/>
      <c r="L289" s="98">
        <v>9032345</v>
      </c>
      <c r="M289" s="98">
        <v>5394237</v>
      </c>
      <c r="N289" s="98">
        <v>7671968</v>
      </c>
      <c r="O289" s="99"/>
      <c r="P289" s="98">
        <v>22098550</v>
      </c>
    </row>
    <row r="290" spans="1:17" ht="45.75" thickBot="1" x14ac:dyDescent="0.25">
      <c r="A290" s="101"/>
      <c r="B290" s="100"/>
      <c r="C290" s="100" t="s">
        <v>720</v>
      </c>
      <c r="D290" s="99"/>
      <c r="E290" s="98">
        <v>3705952</v>
      </c>
      <c r="F290" s="98">
        <v>2087004</v>
      </c>
      <c r="G290" s="98">
        <v>3067546</v>
      </c>
      <c r="H290" s="98">
        <v>924171</v>
      </c>
      <c r="I290" s="98">
        <v>1306177</v>
      </c>
      <c r="J290" s="98">
        <v>1438088</v>
      </c>
      <c r="K290" s="98">
        <v>1556631</v>
      </c>
      <c r="L290" s="98">
        <v>-292870</v>
      </c>
      <c r="M290" s="99"/>
      <c r="N290" s="99"/>
      <c r="O290" s="99"/>
      <c r="P290" s="98">
        <v>13792698</v>
      </c>
    </row>
    <row r="291" spans="1:17" ht="60.75" thickBot="1" x14ac:dyDescent="0.25">
      <c r="A291" s="101"/>
      <c r="B291" s="100" t="s">
        <v>699</v>
      </c>
      <c r="C291" s="100" t="s">
        <v>699</v>
      </c>
      <c r="D291" s="99"/>
      <c r="E291" s="99"/>
      <c r="F291" s="98">
        <v>100000</v>
      </c>
      <c r="G291" s="99"/>
      <c r="H291" s="99"/>
      <c r="I291" s="99"/>
      <c r="J291" s="99"/>
      <c r="K291" s="99"/>
      <c r="L291" s="98">
        <v>197000</v>
      </c>
      <c r="M291" s="99"/>
      <c r="N291" s="99"/>
      <c r="O291" s="99"/>
      <c r="P291" s="98">
        <v>297000</v>
      </c>
    </row>
    <row r="292" spans="1:17" ht="30.75" thickBot="1" x14ac:dyDescent="0.25">
      <c r="A292" s="97" t="s">
        <v>751</v>
      </c>
      <c r="B292" s="97"/>
      <c r="C292" s="97"/>
      <c r="D292" s="95">
        <v>233000</v>
      </c>
      <c r="E292" s="95">
        <v>3705952</v>
      </c>
      <c r="F292" s="95">
        <v>2420504</v>
      </c>
      <c r="G292" s="95">
        <v>3301046</v>
      </c>
      <c r="H292" s="95">
        <v>1157671</v>
      </c>
      <c r="I292" s="95">
        <v>1434922</v>
      </c>
      <c r="J292" s="95">
        <v>2642063</v>
      </c>
      <c r="K292" s="95">
        <v>3097833</v>
      </c>
      <c r="L292" s="95">
        <v>9843290</v>
      </c>
      <c r="M292" s="95">
        <v>5349553</v>
      </c>
      <c r="N292" s="95">
        <v>9376468</v>
      </c>
      <c r="O292" s="95">
        <v>5151500</v>
      </c>
      <c r="P292" s="95">
        <v>47713802</v>
      </c>
      <c r="Q292" s="91" t="s">
        <v>617</v>
      </c>
    </row>
    <row r="293" spans="1:17" ht="15.75" thickBot="1" x14ac:dyDescent="0.25">
      <c r="A293" s="101" t="s">
        <v>83</v>
      </c>
      <c r="B293" s="100" t="s">
        <v>665</v>
      </c>
      <c r="C293" s="100" t="s">
        <v>665</v>
      </c>
      <c r="D293" s="99"/>
      <c r="E293" s="99"/>
      <c r="F293" s="99"/>
      <c r="G293" s="99"/>
      <c r="H293" s="99"/>
      <c r="I293" s="99"/>
      <c r="J293" s="99"/>
      <c r="K293" s="99"/>
      <c r="L293" s="98">
        <v>3641000</v>
      </c>
      <c r="M293" s="99"/>
      <c r="N293" s="98">
        <v>1898250</v>
      </c>
      <c r="O293" s="99"/>
      <c r="P293" s="98">
        <v>5539250</v>
      </c>
    </row>
    <row r="294" spans="1:17" ht="15.75" thickBot="1" x14ac:dyDescent="0.25">
      <c r="A294" s="101"/>
      <c r="B294" s="100" t="s">
        <v>703</v>
      </c>
      <c r="C294" s="100" t="s">
        <v>703</v>
      </c>
      <c r="D294" s="99"/>
      <c r="E294" s="99"/>
      <c r="F294" s="99"/>
      <c r="G294" s="99"/>
      <c r="H294" s="99"/>
      <c r="I294" s="98">
        <v>140861</v>
      </c>
      <c r="J294" s="98">
        <v>256405</v>
      </c>
      <c r="K294" s="98">
        <v>200364</v>
      </c>
      <c r="L294" s="98">
        <v>119774</v>
      </c>
      <c r="M294" s="98">
        <v>5106</v>
      </c>
      <c r="N294" s="99"/>
      <c r="O294" s="99"/>
      <c r="P294" s="98">
        <v>722509</v>
      </c>
    </row>
    <row r="295" spans="1:17" ht="15.75" thickBot="1" x14ac:dyDescent="0.25">
      <c r="A295" s="101"/>
      <c r="B295" s="100" t="s">
        <v>702</v>
      </c>
      <c r="C295" s="100" t="s">
        <v>702</v>
      </c>
      <c r="D295" s="99"/>
      <c r="E295" s="99"/>
      <c r="F295" s="99"/>
      <c r="G295" s="99"/>
      <c r="H295" s="99"/>
      <c r="I295" s="99"/>
      <c r="J295" s="99"/>
      <c r="K295" s="98">
        <v>992000</v>
      </c>
      <c r="L295" s="99"/>
      <c r="M295" s="98">
        <v>994000</v>
      </c>
      <c r="N295" s="99"/>
      <c r="O295" s="99"/>
      <c r="P295" s="98">
        <v>1986000</v>
      </c>
    </row>
    <row r="296" spans="1:17" ht="15.75" thickBot="1" x14ac:dyDescent="0.25">
      <c r="A296" s="101"/>
      <c r="B296" s="100" t="s">
        <v>701</v>
      </c>
      <c r="C296" s="100" t="s">
        <v>700</v>
      </c>
      <c r="D296" s="99"/>
      <c r="E296" s="98">
        <v>10421655</v>
      </c>
      <c r="F296" s="98">
        <v>5536948</v>
      </c>
      <c r="G296" s="98">
        <v>7661252</v>
      </c>
      <c r="H296" s="98">
        <v>87716</v>
      </c>
      <c r="I296" s="98">
        <v>10096316</v>
      </c>
      <c r="J296" s="98">
        <v>5710823</v>
      </c>
      <c r="K296" s="98">
        <v>6237920</v>
      </c>
      <c r="L296" s="98">
        <v>8070288</v>
      </c>
      <c r="M296" s="98">
        <v>6020391</v>
      </c>
      <c r="N296" s="98">
        <v>6310302</v>
      </c>
      <c r="O296" s="99"/>
      <c r="P296" s="98">
        <v>66153610</v>
      </c>
    </row>
    <row r="297" spans="1:17" ht="60.75" thickBot="1" x14ac:dyDescent="0.25">
      <c r="A297" s="101"/>
      <c r="B297" s="100" t="s">
        <v>699</v>
      </c>
      <c r="C297" s="100" t="s">
        <v>699</v>
      </c>
      <c r="D297" s="99"/>
      <c r="E297" s="98">
        <v>100000</v>
      </c>
      <c r="F297" s="99"/>
      <c r="G297" s="99"/>
      <c r="H297" s="99"/>
      <c r="I297" s="99"/>
      <c r="J297" s="99"/>
      <c r="K297" s="99"/>
      <c r="L297" s="99"/>
      <c r="M297" s="99"/>
      <c r="N297" s="99"/>
      <c r="O297" s="99"/>
      <c r="P297" s="98">
        <v>100000</v>
      </c>
    </row>
    <row r="298" spans="1:17" ht="30.75" thickBot="1" x14ac:dyDescent="0.25">
      <c r="A298" s="97" t="s">
        <v>750</v>
      </c>
      <c r="B298" s="97"/>
      <c r="C298" s="97"/>
      <c r="D298" s="96"/>
      <c r="E298" s="95">
        <v>10521655</v>
      </c>
      <c r="F298" s="95">
        <v>5536948</v>
      </c>
      <c r="G298" s="95">
        <v>7661252</v>
      </c>
      <c r="H298" s="95">
        <v>87716</v>
      </c>
      <c r="I298" s="95">
        <v>10237177</v>
      </c>
      <c r="J298" s="95">
        <v>5967228</v>
      </c>
      <c r="K298" s="95">
        <v>7430284</v>
      </c>
      <c r="L298" s="95">
        <v>11831062</v>
      </c>
      <c r="M298" s="95">
        <v>7019497</v>
      </c>
      <c r="N298" s="95">
        <v>8208552</v>
      </c>
      <c r="O298" s="96"/>
      <c r="P298" s="95">
        <v>74501369</v>
      </c>
      <c r="Q298" s="91" t="s">
        <v>617</v>
      </c>
    </row>
    <row r="299" spans="1:17" ht="15.75" thickBot="1" x14ac:dyDescent="0.25">
      <c r="A299" s="101" t="s">
        <v>82</v>
      </c>
      <c r="B299" s="100" t="s">
        <v>665</v>
      </c>
      <c r="C299" s="100" t="s">
        <v>665</v>
      </c>
      <c r="D299" s="99"/>
      <c r="E299" s="99"/>
      <c r="F299" s="99"/>
      <c r="G299" s="99"/>
      <c r="H299" s="99"/>
      <c r="I299" s="99"/>
      <c r="J299" s="99"/>
      <c r="K299" s="99"/>
      <c r="L299" s="98">
        <v>1373000</v>
      </c>
      <c r="M299" s="99"/>
      <c r="N299" s="98">
        <v>1545000</v>
      </c>
      <c r="O299" s="99"/>
      <c r="P299" s="98">
        <v>2918000</v>
      </c>
    </row>
    <row r="300" spans="1:17" ht="15.75" thickBot="1" x14ac:dyDescent="0.25">
      <c r="A300" s="101"/>
      <c r="B300" s="100" t="s">
        <v>703</v>
      </c>
      <c r="C300" s="100" t="s">
        <v>703</v>
      </c>
      <c r="D300" s="99"/>
      <c r="E300" s="99"/>
      <c r="F300" s="99"/>
      <c r="G300" s="98">
        <v>502212</v>
      </c>
      <c r="H300" s="99"/>
      <c r="I300" s="98">
        <v>164010</v>
      </c>
      <c r="J300" s="99"/>
      <c r="K300" s="99"/>
      <c r="L300" s="99"/>
      <c r="M300" s="99"/>
      <c r="N300" s="99"/>
      <c r="O300" s="99"/>
      <c r="P300" s="98">
        <v>666222</v>
      </c>
    </row>
    <row r="301" spans="1:17" ht="15.75" thickBot="1" x14ac:dyDescent="0.25">
      <c r="A301" s="101"/>
      <c r="B301" s="100" t="s">
        <v>702</v>
      </c>
      <c r="C301" s="100" t="s">
        <v>702</v>
      </c>
      <c r="D301" s="98">
        <v>429000</v>
      </c>
      <c r="E301" s="99"/>
      <c r="F301" s="98">
        <v>429000</v>
      </c>
      <c r="G301" s="98">
        <v>858000</v>
      </c>
      <c r="H301" s="98">
        <v>883500</v>
      </c>
      <c r="I301" s="98">
        <v>679520</v>
      </c>
      <c r="J301" s="98">
        <v>785040</v>
      </c>
      <c r="K301" s="99"/>
      <c r="L301" s="98">
        <v>1312500</v>
      </c>
      <c r="M301" s="99"/>
      <c r="N301" s="99"/>
      <c r="O301" s="99"/>
      <c r="P301" s="98">
        <v>5376560</v>
      </c>
    </row>
    <row r="302" spans="1:17" ht="30.75" thickBot="1" x14ac:dyDescent="0.25">
      <c r="A302" s="101"/>
      <c r="B302" s="100" t="s">
        <v>701</v>
      </c>
      <c r="C302" s="100" t="s">
        <v>710</v>
      </c>
      <c r="D302" s="99"/>
      <c r="E302" s="99"/>
      <c r="F302" s="99"/>
      <c r="G302" s="98">
        <v>365130</v>
      </c>
      <c r="H302" s="98">
        <v>129168</v>
      </c>
      <c r="I302" s="98">
        <v>987000</v>
      </c>
      <c r="J302" s="98">
        <v>186945</v>
      </c>
      <c r="K302" s="98">
        <v>16463</v>
      </c>
      <c r="L302" s="98">
        <v>4993</v>
      </c>
      <c r="M302" s="99"/>
      <c r="N302" s="99"/>
      <c r="O302" s="99"/>
      <c r="P302" s="98">
        <v>1689699</v>
      </c>
    </row>
    <row r="303" spans="1:17" ht="15.75" thickBot="1" x14ac:dyDescent="0.25">
      <c r="A303" s="101"/>
      <c r="B303" s="100"/>
      <c r="C303" s="100" t="s">
        <v>700</v>
      </c>
      <c r="D303" s="99"/>
      <c r="E303" s="99"/>
      <c r="F303" s="99"/>
      <c r="G303" s="99"/>
      <c r="H303" s="98">
        <v>711039</v>
      </c>
      <c r="I303" s="98">
        <v>1051011</v>
      </c>
      <c r="J303" s="98">
        <v>5681410</v>
      </c>
      <c r="K303" s="98">
        <v>5317056</v>
      </c>
      <c r="L303" s="98">
        <v>5994202</v>
      </c>
      <c r="M303" s="98">
        <v>3094923</v>
      </c>
      <c r="N303" s="98">
        <v>11569945</v>
      </c>
      <c r="O303" s="98">
        <v>-236223</v>
      </c>
      <c r="P303" s="98">
        <v>33183363</v>
      </c>
    </row>
    <row r="304" spans="1:17" ht="15.75" thickBot="1" x14ac:dyDescent="0.25">
      <c r="A304" s="101"/>
      <c r="B304" s="100"/>
      <c r="C304" s="100" t="s">
        <v>708</v>
      </c>
      <c r="D304" s="99"/>
      <c r="E304" s="99"/>
      <c r="F304" s="99"/>
      <c r="G304" s="99"/>
      <c r="H304" s="99"/>
      <c r="I304" s="99"/>
      <c r="J304" s="99"/>
      <c r="K304" s="99"/>
      <c r="L304" s="99"/>
      <c r="M304" s="99"/>
      <c r="N304" s="98">
        <v>8033898</v>
      </c>
      <c r="O304" s="98">
        <v>5481385</v>
      </c>
      <c r="P304" s="98">
        <v>13515283</v>
      </c>
    </row>
    <row r="305" spans="1:17" ht="30.75" thickBot="1" x14ac:dyDescent="0.25">
      <c r="A305" s="101"/>
      <c r="B305" s="100"/>
      <c r="C305" s="100" t="s">
        <v>716</v>
      </c>
      <c r="D305" s="99"/>
      <c r="E305" s="98">
        <v>219320</v>
      </c>
      <c r="F305" s="99"/>
      <c r="G305" s="99"/>
      <c r="H305" s="98">
        <v>170481</v>
      </c>
      <c r="I305" s="98">
        <v>938063</v>
      </c>
      <c r="J305" s="98">
        <v>278145</v>
      </c>
      <c r="K305" s="98">
        <v>226103</v>
      </c>
      <c r="L305" s="98">
        <v>430444</v>
      </c>
      <c r="M305" s="98">
        <v>677148</v>
      </c>
      <c r="N305" s="98">
        <v>550775</v>
      </c>
      <c r="O305" s="98">
        <v>-25807</v>
      </c>
      <c r="P305" s="98">
        <v>3464670</v>
      </c>
    </row>
    <row r="306" spans="1:17" ht="60.75" thickBot="1" x14ac:dyDescent="0.25">
      <c r="A306" s="101"/>
      <c r="B306" s="100" t="s">
        <v>699</v>
      </c>
      <c r="C306" s="100" t="s">
        <v>699</v>
      </c>
      <c r="D306" s="99"/>
      <c r="E306" s="99"/>
      <c r="F306" s="98">
        <v>100000</v>
      </c>
      <c r="G306" s="99"/>
      <c r="H306" s="99"/>
      <c r="I306" s="99"/>
      <c r="J306" s="99"/>
      <c r="K306" s="99"/>
      <c r="L306" s="99"/>
      <c r="M306" s="99"/>
      <c r="N306" s="98">
        <v>177500</v>
      </c>
      <c r="O306" s="99"/>
      <c r="P306" s="98">
        <v>277500</v>
      </c>
    </row>
    <row r="307" spans="1:17" ht="30.75" thickBot="1" x14ac:dyDescent="0.25">
      <c r="A307" s="97" t="s">
        <v>749</v>
      </c>
      <c r="B307" s="97"/>
      <c r="C307" s="97"/>
      <c r="D307" s="95">
        <v>429000</v>
      </c>
      <c r="E307" s="95">
        <v>219320</v>
      </c>
      <c r="F307" s="95">
        <v>529000</v>
      </c>
      <c r="G307" s="95">
        <v>1725342</v>
      </c>
      <c r="H307" s="95">
        <v>1894188</v>
      </c>
      <c r="I307" s="95">
        <v>3819604</v>
      </c>
      <c r="J307" s="95">
        <v>6931540</v>
      </c>
      <c r="K307" s="95">
        <v>5559622</v>
      </c>
      <c r="L307" s="95">
        <v>9115139</v>
      </c>
      <c r="M307" s="95">
        <v>3772071</v>
      </c>
      <c r="N307" s="95">
        <v>21877118</v>
      </c>
      <c r="O307" s="95">
        <v>5219355</v>
      </c>
      <c r="P307" s="95">
        <v>61091297</v>
      </c>
      <c r="Q307" s="91" t="s">
        <v>617</v>
      </c>
    </row>
    <row r="308" spans="1:17" ht="30.75" thickBot="1" x14ac:dyDescent="0.25">
      <c r="A308" s="101" t="s">
        <v>81</v>
      </c>
      <c r="B308" s="100" t="s">
        <v>703</v>
      </c>
      <c r="C308" s="100" t="s">
        <v>703</v>
      </c>
      <c r="D308" s="99"/>
      <c r="E308" s="99"/>
      <c r="F308" s="99"/>
      <c r="G308" s="99"/>
      <c r="H308" s="98">
        <v>66000</v>
      </c>
      <c r="I308" s="98">
        <v>65000</v>
      </c>
      <c r="J308" s="98">
        <v>74000</v>
      </c>
      <c r="K308" s="99"/>
      <c r="L308" s="99"/>
      <c r="M308" s="99"/>
      <c r="N308" s="99"/>
      <c r="O308" s="99"/>
      <c r="P308" s="98">
        <v>205000</v>
      </c>
    </row>
    <row r="309" spans="1:17" ht="15.75" thickBot="1" x14ac:dyDescent="0.25">
      <c r="A309" s="101"/>
      <c r="B309" s="100" t="s">
        <v>702</v>
      </c>
      <c r="C309" s="100" t="s">
        <v>702</v>
      </c>
      <c r="D309" s="99"/>
      <c r="E309" s="99"/>
      <c r="F309" s="98">
        <v>97000</v>
      </c>
      <c r="G309" s="99"/>
      <c r="H309" s="98">
        <v>97000</v>
      </c>
      <c r="I309" s="98">
        <v>194000</v>
      </c>
      <c r="J309" s="99"/>
      <c r="K309" s="99"/>
      <c r="L309" s="99"/>
      <c r="M309" s="99"/>
      <c r="N309" s="99"/>
      <c r="O309" s="99"/>
      <c r="P309" s="98">
        <v>388000</v>
      </c>
    </row>
    <row r="310" spans="1:17" ht="30.75" thickBot="1" x14ac:dyDescent="0.25">
      <c r="A310" s="101"/>
      <c r="B310" s="100" t="s">
        <v>701</v>
      </c>
      <c r="C310" s="100" t="s">
        <v>710</v>
      </c>
      <c r="D310" s="99"/>
      <c r="E310" s="99"/>
      <c r="F310" s="99"/>
      <c r="G310" s="99"/>
      <c r="H310" s="98">
        <v>195310</v>
      </c>
      <c r="I310" s="98">
        <v>83283</v>
      </c>
      <c r="J310" s="98">
        <v>84948</v>
      </c>
      <c r="K310" s="98">
        <v>133190</v>
      </c>
      <c r="L310" s="98">
        <v>125817</v>
      </c>
      <c r="M310" s="98">
        <v>8761</v>
      </c>
      <c r="N310" s="99"/>
      <c r="O310" s="99"/>
      <c r="P310" s="98">
        <v>631309</v>
      </c>
    </row>
    <row r="311" spans="1:17" ht="15.75" thickBot="1" x14ac:dyDescent="0.25">
      <c r="A311" s="101"/>
      <c r="B311" s="100"/>
      <c r="C311" s="100" t="s">
        <v>700</v>
      </c>
      <c r="D311" s="99"/>
      <c r="E311" s="99"/>
      <c r="F311" s="99"/>
      <c r="G311" s="99"/>
      <c r="H311" s="99"/>
      <c r="I311" s="99"/>
      <c r="J311" s="99"/>
      <c r="K311" s="99"/>
      <c r="L311" s="98">
        <v>836167</v>
      </c>
      <c r="M311" s="98">
        <v>890249</v>
      </c>
      <c r="N311" s="98">
        <v>2348999</v>
      </c>
      <c r="O311" s="99"/>
      <c r="P311" s="98">
        <v>4075415</v>
      </c>
    </row>
    <row r="312" spans="1:17" ht="60.75" thickBot="1" x14ac:dyDescent="0.25">
      <c r="A312" s="101"/>
      <c r="B312" s="100" t="s">
        <v>699</v>
      </c>
      <c r="C312" s="100" t="s">
        <v>699</v>
      </c>
      <c r="D312" s="99"/>
      <c r="E312" s="99"/>
      <c r="F312" s="99"/>
      <c r="G312" s="99"/>
      <c r="H312" s="98">
        <v>100000</v>
      </c>
      <c r="I312" s="99"/>
      <c r="J312" s="99"/>
      <c r="K312" s="99"/>
      <c r="L312" s="98">
        <v>100000</v>
      </c>
      <c r="M312" s="99"/>
      <c r="N312" s="99"/>
      <c r="O312" s="99"/>
      <c r="P312" s="98">
        <v>200000</v>
      </c>
    </row>
    <row r="313" spans="1:17" ht="30.75" thickBot="1" x14ac:dyDescent="0.25">
      <c r="A313" s="97" t="s">
        <v>748</v>
      </c>
      <c r="B313" s="97"/>
      <c r="C313" s="97"/>
      <c r="D313" s="96"/>
      <c r="E313" s="96"/>
      <c r="F313" s="95">
        <v>97000</v>
      </c>
      <c r="G313" s="96"/>
      <c r="H313" s="95">
        <v>458310</v>
      </c>
      <c r="I313" s="95">
        <v>342283</v>
      </c>
      <c r="J313" s="95">
        <v>158948</v>
      </c>
      <c r="K313" s="95">
        <v>133190</v>
      </c>
      <c r="L313" s="95">
        <v>1061984</v>
      </c>
      <c r="M313" s="95">
        <v>899009</v>
      </c>
      <c r="N313" s="95">
        <v>2348999</v>
      </c>
      <c r="O313" s="96"/>
      <c r="P313" s="95">
        <v>5499724</v>
      </c>
      <c r="Q313" s="91" t="s">
        <v>617</v>
      </c>
    </row>
    <row r="314" spans="1:17" ht="15.75" thickBot="1" x14ac:dyDescent="0.25">
      <c r="A314" s="101" t="s">
        <v>34</v>
      </c>
      <c r="B314" s="100" t="s">
        <v>703</v>
      </c>
      <c r="C314" s="100" t="s">
        <v>703</v>
      </c>
      <c r="D314" s="99"/>
      <c r="E314" s="99"/>
      <c r="F314" s="99"/>
      <c r="G314" s="99"/>
      <c r="H314" s="99"/>
      <c r="I314" s="98">
        <v>61000</v>
      </c>
      <c r="J314" s="99"/>
      <c r="K314" s="98">
        <v>26000</v>
      </c>
      <c r="L314" s="99"/>
      <c r="M314" s="99"/>
      <c r="N314" s="99"/>
      <c r="O314" s="99"/>
      <c r="P314" s="98">
        <v>87000</v>
      </c>
    </row>
    <row r="315" spans="1:17" ht="30.75" thickBot="1" x14ac:dyDescent="0.25">
      <c r="A315" s="101"/>
      <c r="B315" s="100" t="s">
        <v>701</v>
      </c>
      <c r="C315" s="100" t="s">
        <v>710</v>
      </c>
      <c r="D315" s="99"/>
      <c r="E315" s="99"/>
      <c r="F315" s="98">
        <v>81981</v>
      </c>
      <c r="G315" s="98">
        <v>52579</v>
      </c>
      <c r="H315" s="98">
        <v>60897</v>
      </c>
      <c r="I315" s="98">
        <v>167002</v>
      </c>
      <c r="J315" s="98">
        <v>56619</v>
      </c>
      <c r="K315" s="98">
        <v>26141</v>
      </c>
      <c r="L315" s="99"/>
      <c r="M315" s="98">
        <v>3955</v>
      </c>
      <c r="N315" s="99"/>
      <c r="O315" s="99"/>
      <c r="P315" s="98">
        <v>449174</v>
      </c>
    </row>
    <row r="316" spans="1:17" ht="15.75" thickBot="1" x14ac:dyDescent="0.25">
      <c r="A316" s="101"/>
      <c r="B316" s="100"/>
      <c r="C316" s="100" t="s">
        <v>700</v>
      </c>
      <c r="D316" s="99"/>
      <c r="E316" s="99"/>
      <c r="F316" s="99"/>
      <c r="G316" s="99"/>
      <c r="H316" s="99"/>
      <c r="I316" s="99"/>
      <c r="J316" s="99"/>
      <c r="K316" s="99"/>
      <c r="L316" s="99"/>
      <c r="M316" s="99"/>
      <c r="N316" s="98">
        <v>374044</v>
      </c>
      <c r="O316" s="99"/>
      <c r="P316" s="98">
        <v>374044</v>
      </c>
    </row>
    <row r="317" spans="1:17" ht="30.75" thickBot="1" x14ac:dyDescent="0.25">
      <c r="A317" s="101"/>
      <c r="B317" s="100"/>
      <c r="C317" s="100" t="s">
        <v>705</v>
      </c>
      <c r="D317" s="99"/>
      <c r="E317" s="99"/>
      <c r="F317" s="99"/>
      <c r="G317" s="99"/>
      <c r="H317" s="99"/>
      <c r="I317" s="99"/>
      <c r="J317" s="99"/>
      <c r="K317" s="99"/>
      <c r="L317" s="98">
        <v>841852</v>
      </c>
      <c r="M317" s="98">
        <v>-10723</v>
      </c>
      <c r="N317" s="98">
        <v>468549</v>
      </c>
      <c r="O317" s="99"/>
      <c r="P317" s="98">
        <v>1299678</v>
      </c>
    </row>
    <row r="318" spans="1:17" ht="60.75" thickBot="1" x14ac:dyDescent="0.25">
      <c r="A318" s="101"/>
      <c r="B318" s="100" t="s">
        <v>699</v>
      </c>
      <c r="C318" s="100" t="s">
        <v>699</v>
      </c>
      <c r="D318" s="99"/>
      <c r="E318" s="99"/>
      <c r="F318" s="98">
        <v>100000</v>
      </c>
      <c r="G318" s="99"/>
      <c r="H318" s="99"/>
      <c r="I318" s="99"/>
      <c r="J318" s="99"/>
      <c r="K318" s="99"/>
      <c r="L318" s="98">
        <v>100000</v>
      </c>
      <c r="M318" s="99"/>
      <c r="N318" s="99"/>
      <c r="O318" s="99"/>
      <c r="P318" s="98">
        <v>200000</v>
      </c>
    </row>
    <row r="319" spans="1:17" ht="30.75" thickBot="1" x14ac:dyDescent="0.25">
      <c r="A319" s="97" t="s">
        <v>747</v>
      </c>
      <c r="B319" s="97"/>
      <c r="C319" s="97"/>
      <c r="D319" s="96"/>
      <c r="E319" s="96"/>
      <c r="F319" s="95">
        <v>181981</v>
      </c>
      <c r="G319" s="95">
        <v>52579</v>
      </c>
      <c r="H319" s="95">
        <v>60897</v>
      </c>
      <c r="I319" s="95">
        <v>228002</v>
      </c>
      <c r="J319" s="95">
        <v>56619</v>
      </c>
      <c r="K319" s="95">
        <v>52141</v>
      </c>
      <c r="L319" s="95">
        <v>941852</v>
      </c>
      <c r="M319" s="95">
        <v>-6768</v>
      </c>
      <c r="N319" s="95">
        <v>842593</v>
      </c>
      <c r="O319" s="96"/>
      <c r="P319" s="95">
        <v>2409896</v>
      </c>
      <c r="Q319" s="91" t="s">
        <v>706</v>
      </c>
    </row>
    <row r="320" spans="1:17" ht="30.75" thickBot="1" x14ac:dyDescent="0.25">
      <c r="A320" s="101" t="s">
        <v>33</v>
      </c>
      <c r="B320" s="100" t="s">
        <v>665</v>
      </c>
      <c r="C320" s="100" t="s">
        <v>665</v>
      </c>
      <c r="D320" s="99"/>
      <c r="E320" s="99"/>
      <c r="F320" s="99"/>
      <c r="G320" s="99"/>
      <c r="H320" s="99"/>
      <c r="I320" s="99"/>
      <c r="J320" s="99"/>
      <c r="K320" s="99"/>
      <c r="L320" s="99"/>
      <c r="M320" s="99"/>
      <c r="N320" s="98">
        <v>165000</v>
      </c>
      <c r="O320" s="99"/>
      <c r="P320" s="98">
        <v>165000</v>
      </c>
    </row>
    <row r="321" spans="1:17" ht="15.75" thickBot="1" x14ac:dyDescent="0.25">
      <c r="A321" s="101"/>
      <c r="B321" s="100" t="s">
        <v>703</v>
      </c>
      <c r="C321" s="100" t="s">
        <v>703</v>
      </c>
      <c r="D321" s="99"/>
      <c r="E321" s="99"/>
      <c r="F321" s="99"/>
      <c r="G321" s="99"/>
      <c r="H321" s="99"/>
      <c r="I321" s="98">
        <v>89305</v>
      </c>
      <c r="J321" s="98">
        <v>26893</v>
      </c>
      <c r="K321" s="98">
        <v>-2771</v>
      </c>
      <c r="L321" s="99"/>
      <c r="M321" s="99"/>
      <c r="N321" s="99"/>
      <c r="O321" s="99"/>
      <c r="P321" s="98">
        <v>113427</v>
      </c>
    </row>
    <row r="322" spans="1:17" ht="15.75" thickBot="1" x14ac:dyDescent="0.25">
      <c r="A322" s="101"/>
      <c r="B322" s="100" t="s">
        <v>702</v>
      </c>
      <c r="C322" s="100" t="s">
        <v>702</v>
      </c>
      <c r="D322" s="99"/>
      <c r="E322" s="99"/>
      <c r="F322" s="99"/>
      <c r="G322" s="99"/>
      <c r="H322" s="99"/>
      <c r="I322" s="99"/>
      <c r="J322" s="99"/>
      <c r="K322" s="99"/>
      <c r="L322" s="98">
        <v>30500</v>
      </c>
      <c r="M322" s="99"/>
      <c r="N322" s="98">
        <v>30500</v>
      </c>
      <c r="O322" s="99"/>
      <c r="P322" s="98">
        <v>61000</v>
      </c>
    </row>
    <row r="323" spans="1:17" ht="15.75" thickBot="1" x14ac:dyDescent="0.25">
      <c r="A323" s="101"/>
      <c r="B323" s="100" t="s">
        <v>701</v>
      </c>
      <c r="C323" s="100" t="s">
        <v>700</v>
      </c>
      <c r="D323" s="99"/>
      <c r="E323" s="99"/>
      <c r="F323" s="99"/>
      <c r="G323" s="99"/>
      <c r="H323" s="99"/>
      <c r="I323" s="98">
        <v>582650</v>
      </c>
      <c r="J323" s="98">
        <v>580802</v>
      </c>
      <c r="K323" s="98">
        <v>313014</v>
      </c>
      <c r="L323" s="98">
        <v>919874</v>
      </c>
      <c r="M323" s="98">
        <v>556632</v>
      </c>
      <c r="N323" s="98">
        <v>975153</v>
      </c>
      <c r="O323" s="99"/>
      <c r="P323" s="98">
        <v>3928124</v>
      </c>
    </row>
    <row r="324" spans="1:17" ht="60.75" thickBot="1" x14ac:dyDescent="0.25">
      <c r="A324" s="101"/>
      <c r="B324" s="100" t="s">
        <v>699</v>
      </c>
      <c r="C324" s="100" t="s">
        <v>699</v>
      </c>
      <c r="D324" s="99"/>
      <c r="E324" s="99"/>
      <c r="F324" s="99"/>
      <c r="G324" s="99"/>
      <c r="H324" s="98">
        <v>100000</v>
      </c>
      <c r="I324" s="99"/>
      <c r="J324" s="99"/>
      <c r="K324" s="99"/>
      <c r="L324" s="99"/>
      <c r="M324" s="99"/>
      <c r="N324" s="99"/>
      <c r="O324" s="99"/>
      <c r="P324" s="98">
        <v>100000</v>
      </c>
    </row>
    <row r="325" spans="1:17" ht="30.75" thickBot="1" x14ac:dyDescent="0.25">
      <c r="A325" s="97" t="s">
        <v>746</v>
      </c>
      <c r="B325" s="97"/>
      <c r="C325" s="97"/>
      <c r="D325" s="96"/>
      <c r="E325" s="96"/>
      <c r="F325" s="96"/>
      <c r="G325" s="96"/>
      <c r="H325" s="95">
        <v>100000</v>
      </c>
      <c r="I325" s="95">
        <v>671955</v>
      </c>
      <c r="J325" s="95">
        <v>607695</v>
      </c>
      <c r="K325" s="95">
        <v>310243</v>
      </c>
      <c r="L325" s="95">
        <v>950374</v>
      </c>
      <c r="M325" s="95">
        <v>556632</v>
      </c>
      <c r="N325" s="95">
        <v>1170653</v>
      </c>
      <c r="O325" s="96"/>
      <c r="P325" s="95">
        <v>4367551</v>
      </c>
      <c r="Q325" s="91" t="s">
        <v>706</v>
      </c>
    </row>
    <row r="326" spans="1:17" ht="30.75" thickBot="1" x14ac:dyDescent="0.25">
      <c r="A326" s="101" t="s">
        <v>80</v>
      </c>
      <c r="B326" s="100" t="s">
        <v>703</v>
      </c>
      <c r="C326" s="100" t="s">
        <v>703</v>
      </c>
      <c r="D326" s="99"/>
      <c r="E326" s="99"/>
      <c r="F326" s="99"/>
      <c r="G326" s="98">
        <v>680865</v>
      </c>
      <c r="H326" s="98">
        <v>173566</v>
      </c>
      <c r="I326" s="98">
        <v>-17859</v>
      </c>
      <c r="J326" s="99"/>
      <c r="K326" s="99">
        <v>-690</v>
      </c>
      <c r="L326" s="99"/>
      <c r="M326" s="99"/>
      <c r="N326" s="99"/>
      <c r="O326" s="99"/>
      <c r="P326" s="98">
        <v>835881</v>
      </c>
    </row>
    <row r="327" spans="1:17" ht="15.75" thickBot="1" x14ac:dyDescent="0.25">
      <c r="A327" s="101"/>
      <c r="B327" s="100" t="s">
        <v>702</v>
      </c>
      <c r="C327" s="100" t="s">
        <v>702</v>
      </c>
      <c r="D327" s="99"/>
      <c r="E327" s="98">
        <v>231000</v>
      </c>
      <c r="F327" s="98">
        <v>231000</v>
      </c>
      <c r="G327" s="98">
        <v>231000</v>
      </c>
      <c r="H327" s="98">
        <v>231000</v>
      </c>
      <c r="I327" s="99"/>
      <c r="J327" s="99"/>
      <c r="K327" s="99"/>
      <c r="L327" s="99"/>
      <c r="M327" s="99"/>
      <c r="N327" s="99"/>
      <c r="O327" s="99"/>
      <c r="P327" s="98">
        <v>924000</v>
      </c>
    </row>
    <row r="328" spans="1:17" ht="15.75" thickBot="1" x14ac:dyDescent="0.25">
      <c r="A328" s="101"/>
      <c r="B328" s="100" t="s">
        <v>701</v>
      </c>
      <c r="C328" s="100" t="s">
        <v>700</v>
      </c>
      <c r="D328" s="99"/>
      <c r="E328" s="99"/>
      <c r="F328" s="99"/>
      <c r="G328" s="99"/>
      <c r="H328" s="99"/>
      <c r="I328" s="99"/>
      <c r="J328" s="99"/>
      <c r="K328" s="99"/>
      <c r="L328" s="98">
        <v>4660727</v>
      </c>
      <c r="M328" s="98">
        <v>5834086</v>
      </c>
      <c r="N328" s="98">
        <v>12080430</v>
      </c>
      <c r="O328" s="99"/>
      <c r="P328" s="98">
        <v>22575243</v>
      </c>
    </row>
    <row r="329" spans="1:17" ht="45.75" thickBot="1" x14ac:dyDescent="0.25">
      <c r="A329" s="101"/>
      <c r="B329" s="100"/>
      <c r="C329" s="100" t="s">
        <v>720</v>
      </c>
      <c r="D329" s="99"/>
      <c r="E329" s="98">
        <v>4826440</v>
      </c>
      <c r="F329" s="98">
        <v>2453400</v>
      </c>
      <c r="G329" s="98">
        <v>3477276</v>
      </c>
      <c r="H329" s="98">
        <v>1807821</v>
      </c>
      <c r="I329" s="98">
        <v>2881468</v>
      </c>
      <c r="J329" s="98">
        <v>514642</v>
      </c>
      <c r="K329" s="98">
        <v>-272207</v>
      </c>
      <c r="L329" s="98">
        <v>1262384</v>
      </c>
      <c r="M329" s="98">
        <v>-53904</v>
      </c>
      <c r="N329" s="99"/>
      <c r="O329" s="99"/>
      <c r="P329" s="98">
        <v>16897320</v>
      </c>
    </row>
    <row r="330" spans="1:17" ht="60.75" thickBot="1" x14ac:dyDescent="0.25">
      <c r="A330" s="101"/>
      <c r="B330" s="100" t="s">
        <v>699</v>
      </c>
      <c r="C330" s="100" t="s">
        <v>699</v>
      </c>
      <c r="D330" s="99"/>
      <c r="E330" s="99"/>
      <c r="F330" s="98">
        <v>100000</v>
      </c>
      <c r="G330" s="99"/>
      <c r="H330" s="99"/>
      <c r="I330" s="99"/>
      <c r="J330" s="99"/>
      <c r="K330" s="99"/>
      <c r="L330" s="98">
        <v>288500</v>
      </c>
      <c r="M330" s="99"/>
      <c r="N330" s="99"/>
      <c r="O330" s="99"/>
      <c r="P330" s="98">
        <v>388500</v>
      </c>
    </row>
    <row r="331" spans="1:17" ht="30.75" thickBot="1" x14ac:dyDescent="0.25">
      <c r="A331" s="97" t="s">
        <v>745</v>
      </c>
      <c r="B331" s="97"/>
      <c r="C331" s="97"/>
      <c r="D331" s="96"/>
      <c r="E331" s="95">
        <v>5057440</v>
      </c>
      <c r="F331" s="95">
        <v>2784400</v>
      </c>
      <c r="G331" s="95">
        <v>4389141</v>
      </c>
      <c r="H331" s="95">
        <v>2212386</v>
      </c>
      <c r="I331" s="95">
        <v>2863609</v>
      </c>
      <c r="J331" s="95">
        <v>514642</v>
      </c>
      <c r="K331" s="95">
        <v>-272898</v>
      </c>
      <c r="L331" s="95">
        <v>6211611</v>
      </c>
      <c r="M331" s="95">
        <v>5780182</v>
      </c>
      <c r="N331" s="95">
        <v>12080430</v>
      </c>
      <c r="O331" s="96"/>
      <c r="P331" s="95">
        <v>41620945</v>
      </c>
      <c r="Q331" s="91" t="s">
        <v>617</v>
      </c>
    </row>
    <row r="332" spans="1:17" ht="30.75" thickBot="1" x14ac:dyDescent="0.25">
      <c r="A332" s="101" t="s">
        <v>79</v>
      </c>
      <c r="B332" s="100" t="s">
        <v>703</v>
      </c>
      <c r="C332" s="100" t="s">
        <v>703</v>
      </c>
      <c r="D332" s="99"/>
      <c r="E332" s="99"/>
      <c r="F332" s="98">
        <v>578647</v>
      </c>
      <c r="G332" s="98">
        <v>956320</v>
      </c>
      <c r="H332" s="99"/>
      <c r="I332" s="98">
        <v>678362</v>
      </c>
      <c r="J332" s="98">
        <v>-39718</v>
      </c>
      <c r="K332" s="98">
        <v>-89634</v>
      </c>
      <c r="L332" s="99"/>
      <c r="M332" s="99"/>
      <c r="N332" s="99"/>
      <c r="O332" s="99"/>
      <c r="P332" s="98">
        <v>2083978</v>
      </c>
    </row>
    <row r="333" spans="1:17" ht="15.75" thickBot="1" x14ac:dyDescent="0.25">
      <c r="A333" s="101"/>
      <c r="B333" s="100" t="s">
        <v>702</v>
      </c>
      <c r="C333" s="100" t="s">
        <v>702</v>
      </c>
      <c r="D333" s="99"/>
      <c r="E333" s="99"/>
      <c r="F333" s="99"/>
      <c r="G333" s="99"/>
      <c r="H333" s="98">
        <v>1074800</v>
      </c>
      <c r="I333" s="98">
        <v>1717240</v>
      </c>
      <c r="J333" s="98">
        <v>903020</v>
      </c>
      <c r="K333" s="98">
        <v>903020</v>
      </c>
      <c r="L333" s="99"/>
      <c r="M333" s="99"/>
      <c r="N333" s="99"/>
      <c r="O333" s="99"/>
      <c r="P333" s="98">
        <v>4598080</v>
      </c>
    </row>
    <row r="334" spans="1:17" ht="30.75" thickBot="1" x14ac:dyDescent="0.25">
      <c r="A334" s="101"/>
      <c r="B334" s="100" t="s">
        <v>701</v>
      </c>
      <c r="C334" s="100" t="s">
        <v>710</v>
      </c>
      <c r="D334" s="99"/>
      <c r="E334" s="99"/>
      <c r="F334" s="98">
        <v>1022679</v>
      </c>
      <c r="G334" s="98">
        <v>1159670</v>
      </c>
      <c r="H334" s="98">
        <v>2137383</v>
      </c>
      <c r="I334" s="98">
        <v>4723841</v>
      </c>
      <c r="J334" s="98">
        <v>2959191</v>
      </c>
      <c r="K334" s="98">
        <v>-1752439</v>
      </c>
      <c r="L334" s="98">
        <v>3160246</v>
      </c>
      <c r="M334" s="98">
        <v>601905</v>
      </c>
      <c r="N334" s="98">
        <v>91706</v>
      </c>
      <c r="O334" s="99"/>
      <c r="P334" s="98">
        <v>14104180</v>
      </c>
    </row>
    <row r="335" spans="1:17" ht="60.75" thickBot="1" x14ac:dyDescent="0.25">
      <c r="A335" s="101"/>
      <c r="B335" s="100" t="s">
        <v>699</v>
      </c>
      <c r="C335" s="100" t="s">
        <v>699</v>
      </c>
      <c r="D335" s="99"/>
      <c r="E335" s="99"/>
      <c r="F335" s="99"/>
      <c r="G335" s="99"/>
      <c r="H335" s="99"/>
      <c r="I335" s="98">
        <v>100000</v>
      </c>
      <c r="J335" s="99"/>
      <c r="K335" s="99"/>
      <c r="L335" s="99"/>
      <c r="M335" s="99"/>
      <c r="N335" s="99"/>
      <c r="O335" s="99"/>
      <c r="P335" s="98">
        <v>100000</v>
      </c>
    </row>
    <row r="336" spans="1:17" ht="30.75" thickBot="1" x14ac:dyDescent="0.25">
      <c r="A336" s="97" t="s">
        <v>744</v>
      </c>
      <c r="B336" s="97"/>
      <c r="C336" s="97"/>
      <c r="D336" s="96"/>
      <c r="E336" s="96"/>
      <c r="F336" s="95">
        <v>1601326</v>
      </c>
      <c r="G336" s="95">
        <v>2115990</v>
      </c>
      <c r="H336" s="95">
        <v>3212183</v>
      </c>
      <c r="I336" s="95">
        <v>7219442</v>
      </c>
      <c r="J336" s="95">
        <v>3822493</v>
      </c>
      <c r="K336" s="95">
        <v>-939052</v>
      </c>
      <c r="L336" s="95">
        <v>3160246</v>
      </c>
      <c r="M336" s="95">
        <v>601905</v>
      </c>
      <c r="N336" s="95">
        <v>91706</v>
      </c>
      <c r="O336" s="96"/>
      <c r="P336" s="95">
        <v>20886238</v>
      </c>
      <c r="Q336" s="91" t="s">
        <v>617</v>
      </c>
    </row>
    <row r="337" spans="1:17" ht="15.75" thickBot="1" x14ac:dyDescent="0.25">
      <c r="A337" s="101" t="s">
        <v>78</v>
      </c>
      <c r="B337" s="100" t="s">
        <v>665</v>
      </c>
      <c r="C337" s="100" t="s">
        <v>665</v>
      </c>
      <c r="D337" s="99"/>
      <c r="E337" s="99"/>
      <c r="F337" s="99"/>
      <c r="G337" s="99"/>
      <c r="H337" s="99"/>
      <c r="I337" s="99"/>
      <c r="J337" s="99"/>
      <c r="K337" s="99"/>
      <c r="L337" s="98">
        <v>6166500</v>
      </c>
      <c r="M337" s="99"/>
      <c r="N337" s="98">
        <v>2500500</v>
      </c>
      <c r="O337" s="99"/>
      <c r="P337" s="98">
        <v>8667000</v>
      </c>
    </row>
    <row r="338" spans="1:17" ht="15.75" thickBot="1" x14ac:dyDescent="0.25">
      <c r="A338" s="101"/>
      <c r="B338" s="100" t="s">
        <v>703</v>
      </c>
      <c r="C338" s="100" t="s">
        <v>703</v>
      </c>
      <c r="D338" s="99"/>
      <c r="E338" s="99"/>
      <c r="F338" s="98">
        <v>356566</v>
      </c>
      <c r="G338" s="98">
        <v>750967</v>
      </c>
      <c r="H338" s="98">
        <v>103066</v>
      </c>
      <c r="I338" s="98">
        <v>-54338</v>
      </c>
      <c r="J338" s="98">
        <v>1928</v>
      </c>
      <c r="K338" s="98">
        <v>-6296</v>
      </c>
      <c r="L338" s="99"/>
      <c r="M338" s="99"/>
      <c r="N338" s="99"/>
      <c r="O338" s="99"/>
      <c r="P338" s="98">
        <v>1151893</v>
      </c>
    </row>
    <row r="339" spans="1:17" ht="15.75" thickBot="1" x14ac:dyDescent="0.25">
      <c r="A339" s="101"/>
      <c r="B339" s="100" t="s">
        <v>702</v>
      </c>
      <c r="C339" s="100" t="s">
        <v>702</v>
      </c>
      <c r="D339" s="99"/>
      <c r="E339" s="99"/>
      <c r="F339" s="98">
        <v>352300</v>
      </c>
      <c r="G339" s="98">
        <v>352700</v>
      </c>
      <c r="H339" s="98">
        <v>705000</v>
      </c>
      <c r="I339" s="98">
        <v>1149100</v>
      </c>
      <c r="J339" s="98">
        <v>103420</v>
      </c>
      <c r="K339" s="98">
        <v>650000</v>
      </c>
      <c r="L339" s="99"/>
      <c r="M339" s="99"/>
      <c r="N339" s="99"/>
      <c r="O339" s="99"/>
      <c r="P339" s="98">
        <v>3312520</v>
      </c>
    </row>
    <row r="340" spans="1:17" ht="30.75" thickBot="1" x14ac:dyDescent="0.25">
      <c r="A340" s="101"/>
      <c r="B340" s="100" t="s">
        <v>701</v>
      </c>
      <c r="C340" s="100" t="s">
        <v>710</v>
      </c>
      <c r="D340" s="99"/>
      <c r="E340" s="99"/>
      <c r="F340" s="98">
        <v>651386</v>
      </c>
      <c r="G340" s="98">
        <v>629831</v>
      </c>
      <c r="H340" s="98">
        <v>202500</v>
      </c>
      <c r="I340" s="98">
        <v>462589</v>
      </c>
      <c r="J340" s="98">
        <v>-75326</v>
      </c>
      <c r="K340" s="99"/>
      <c r="L340" s="99"/>
      <c r="M340" s="99"/>
      <c r="N340" s="99"/>
      <c r="O340" s="99"/>
      <c r="P340" s="98">
        <v>1870980</v>
      </c>
    </row>
    <row r="341" spans="1:17" ht="15.75" thickBot="1" x14ac:dyDescent="0.25">
      <c r="A341" s="101"/>
      <c r="B341" s="100"/>
      <c r="C341" s="100" t="s">
        <v>700</v>
      </c>
      <c r="D341" s="99"/>
      <c r="E341" s="99"/>
      <c r="F341" s="99"/>
      <c r="G341" s="99"/>
      <c r="H341" s="99"/>
      <c r="I341" s="99"/>
      <c r="J341" s="99"/>
      <c r="K341" s="99"/>
      <c r="L341" s="98">
        <v>4430561</v>
      </c>
      <c r="M341" s="98">
        <v>2235233</v>
      </c>
      <c r="N341" s="98">
        <v>10890802</v>
      </c>
      <c r="O341" s="99"/>
      <c r="P341" s="98">
        <v>17556596</v>
      </c>
    </row>
    <row r="342" spans="1:17" ht="45.75" thickBot="1" x14ac:dyDescent="0.25">
      <c r="A342" s="101"/>
      <c r="B342" s="100"/>
      <c r="C342" s="100" t="s">
        <v>720</v>
      </c>
      <c r="D342" s="99"/>
      <c r="E342" s="99"/>
      <c r="F342" s="99"/>
      <c r="G342" s="99"/>
      <c r="H342" s="98">
        <v>2514018</v>
      </c>
      <c r="I342" s="98">
        <v>4148793</v>
      </c>
      <c r="J342" s="98">
        <v>1945847</v>
      </c>
      <c r="K342" s="98">
        <v>167332</v>
      </c>
      <c r="L342" s="99"/>
      <c r="M342" s="98">
        <v>-85605</v>
      </c>
      <c r="N342" s="99"/>
      <c r="O342" s="99"/>
      <c r="P342" s="98">
        <v>8690385</v>
      </c>
    </row>
    <row r="343" spans="1:17" ht="60.75" thickBot="1" x14ac:dyDescent="0.25">
      <c r="A343" s="101"/>
      <c r="B343" s="100" t="s">
        <v>699</v>
      </c>
      <c r="C343" s="100" t="s">
        <v>699</v>
      </c>
      <c r="D343" s="99"/>
      <c r="E343" s="99"/>
      <c r="F343" s="99"/>
      <c r="G343" s="98">
        <v>100000</v>
      </c>
      <c r="H343" s="99"/>
      <c r="I343" s="99"/>
      <c r="J343" s="99"/>
      <c r="K343" s="99"/>
      <c r="L343" s="98">
        <v>266500</v>
      </c>
      <c r="M343" s="99"/>
      <c r="N343" s="99"/>
      <c r="O343" s="99"/>
      <c r="P343" s="98">
        <v>366500</v>
      </c>
    </row>
    <row r="344" spans="1:17" ht="30.75" thickBot="1" x14ac:dyDescent="0.25">
      <c r="A344" s="97" t="s">
        <v>743</v>
      </c>
      <c r="B344" s="97"/>
      <c r="C344" s="97"/>
      <c r="D344" s="96"/>
      <c r="E344" s="96"/>
      <c r="F344" s="95">
        <v>1360252</v>
      </c>
      <c r="G344" s="95">
        <v>1833498</v>
      </c>
      <c r="H344" s="95">
        <v>3524584</v>
      </c>
      <c r="I344" s="95">
        <v>5706144</v>
      </c>
      <c r="J344" s="95">
        <v>1975869</v>
      </c>
      <c r="K344" s="95">
        <v>811037</v>
      </c>
      <c r="L344" s="95">
        <v>10863561</v>
      </c>
      <c r="M344" s="95">
        <v>2149628</v>
      </c>
      <c r="N344" s="95">
        <v>13391302</v>
      </c>
      <c r="O344" s="96"/>
      <c r="P344" s="95">
        <v>41615875</v>
      </c>
      <c r="Q344" s="91" t="s">
        <v>617</v>
      </c>
    </row>
    <row r="345" spans="1:17" ht="30.75" thickBot="1" x14ac:dyDescent="0.25">
      <c r="A345" s="101" t="s">
        <v>31</v>
      </c>
      <c r="B345" s="100" t="s">
        <v>665</v>
      </c>
      <c r="C345" s="100" t="s">
        <v>665</v>
      </c>
      <c r="D345" s="99"/>
      <c r="E345" s="99"/>
      <c r="F345" s="99"/>
      <c r="G345" s="99"/>
      <c r="H345" s="99"/>
      <c r="I345" s="99"/>
      <c r="J345" s="99"/>
      <c r="K345" s="99"/>
      <c r="L345" s="98">
        <v>343500</v>
      </c>
      <c r="M345" s="99"/>
      <c r="N345" s="98">
        <v>346500</v>
      </c>
      <c r="O345" s="99"/>
      <c r="P345" s="98">
        <v>690000</v>
      </c>
    </row>
    <row r="346" spans="1:17" ht="15.75" thickBot="1" x14ac:dyDescent="0.25">
      <c r="A346" s="101"/>
      <c r="B346" s="100" t="s">
        <v>703</v>
      </c>
      <c r="C346" s="100" t="s">
        <v>703</v>
      </c>
      <c r="D346" s="99"/>
      <c r="E346" s="99"/>
      <c r="F346" s="99"/>
      <c r="G346" s="99"/>
      <c r="H346" s="99"/>
      <c r="I346" s="98">
        <v>138000</v>
      </c>
      <c r="J346" s="98">
        <v>163000</v>
      </c>
      <c r="K346" s="98">
        <v>131000</v>
      </c>
      <c r="L346" s="99"/>
      <c r="M346" s="98">
        <v>30500</v>
      </c>
      <c r="N346" s="99"/>
      <c r="O346" s="99"/>
      <c r="P346" s="98">
        <v>462500</v>
      </c>
    </row>
    <row r="347" spans="1:17" ht="15.75" thickBot="1" x14ac:dyDescent="0.25">
      <c r="A347" s="101"/>
      <c r="B347" s="100" t="s">
        <v>702</v>
      </c>
      <c r="C347" s="100" t="s">
        <v>702</v>
      </c>
      <c r="D347" s="99"/>
      <c r="E347" s="99"/>
      <c r="F347" s="99"/>
      <c r="G347" s="99"/>
      <c r="H347" s="99"/>
      <c r="I347" s="99"/>
      <c r="J347" s="99"/>
      <c r="K347" s="99"/>
      <c r="L347" s="98">
        <v>27750</v>
      </c>
      <c r="M347" s="98">
        <v>27750</v>
      </c>
      <c r="N347" s="98">
        <v>55500</v>
      </c>
      <c r="O347" s="99"/>
      <c r="P347" s="98">
        <v>111000</v>
      </c>
    </row>
    <row r="348" spans="1:17" ht="15.75" thickBot="1" x14ac:dyDescent="0.25">
      <c r="A348" s="101"/>
      <c r="B348" s="100" t="s">
        <v>701</v>
      </c>
      <c r="C348" s="100" t="s">
        <v>708</v>
      </c>
      <c r="D348" s="99"/>
      <c r="E348" s="99"/>
      <c r="F348" s="99"/>
      <c r="G348" s="99"/>
      <c r="H348" s="99"/>
      <c r="I348" s="99"/>
      <c r="J348" s="99"/>
      <c r="K348" s="99"/>
      <c r="L348" s="99"/>
      <c r="M348" s="99"/>
      <c r="N348" s="98">
        <v>2369481</v>
      </c>
      <c r="O348" s="98">
        <v>1285045</v>
      </c>
      <c r="P348" s="98">
        <v>3654526</v>
      </c>
    </row>
    <row r="349" spans="1:17" ht="30.75" thickBot="1" x14ac:dyDescent="0.25">
      <c r="A349" s="101"/>
      <c r="B349" s="100"/>
      <c r="C349" s="100" t="s">
        <v>742</v>
      </c>
      <c r="D349" s="99"/>
      <c r="E349" s="99"/>
      <c r="F349" s="99"/>
      <c r="G349" s="99"/>
      <c r="H349" s="99"/>
      <c r="I349" s="99"/>
      <c r="J349" s="99"/>
      <c r="K349" s="99"/>
      <c r="L349" s="99"/>
      <c r="M349" s="98">
        <v>1420000</v>
      </c>
      <c r="N349" s="98">
        <v>3021500</v>
      </c>
      <c r="O349" s="99"/>
      <c r="P349" s="98">
        <v>4441500</v>
      </c>
    </row>
    <row r="350" spans="1:17" ht="60.75" thickBot="1" x14ac:dyDescent="0.25">
      <c r="A350" s="101"/>
      <c r="B350" s="100" t="s">
        <v>699</v>
      </c>
      <c r="C350" s="100" t="s">
        <v>699</v>
      </c>
      <c r="D350" s="99"/>
      <c r="E350" s="99"/>
      <c r="F350" s="99"/>
      <c r="G350" s="99"/>
      <c r="H350" s="99"/>
      <c r="I350" s="99"/>
      <c r="J350" s="99"/>
      <c r="K350" s="99"/>
      <c r="L350" s="98">
        <v>100000</v>
      </c>
      <c r="M350" s="98">
        <v>100000</v>
      </c>
      <c r="N350" s="99"/>
      <c r="O350" s="99"/>
      <c r="P350" s="98">
        <v>200000</v>
      </c>
    </row>
    <row r="351" spans="1:17" ht="30.75" thickBot="1" x14ac:dyDescent="0.25">
      <c r="A351" s="97" t="s">
        <v>741</v>
      </c>
      <c r="B351" s="97"/>
      <c r="C351" s="97"/>
      <c r="D351" s="96"/>
      <c r="E351" s="96"/>
      <c r="F351" s="96"/>
      <c r="G351" s="96"/>
      <c r="H351" s="96"/>
      <c r="I351" s="95">
        <v>138000</v>
      </c>
      <c r="J351" s="95">
        <v>163000</v>
      </c>
      <c r="K351" s="95">
        <v>131000</v>
      </c>
      <c r="L351" s="95">
        <v>471250</v>
      </c>
      <c r="M351" s="95">
        <v>1578250</v>
      </c>
      <c r="N351" s="95">
        <v>5792981</v>
      </c>
      <c r="O351" s="95">
        <v>1285045</v>
      </c>
      <c r="P351" s="95">
        <v>9559526</v>
      </c>
      <c r="Q351" s="91" t="s">
        <v>706</v>
      </c>
    </row>
    <row r="352" spans="1:17" ht="15.75" thickBot="1" x14ac:dyDescent="0.25">
      <c r="A352" s="101" t="s">
        <v>77</v>
      </c>
      <c r="B352" s="100" t="s">
        <v>703</v>
      </c>
      <c r="C352" s="100" t="s">
        <v>703</v>
      </c>
      <c r="D352" s="99"/>
      <c r="E352" s="99"/>
      <c r="F352" s="99"/>
      <c r="G352" s="99"/>
      <c r="H352" s="98">
        <v>321509</v>
      </c>
      <c r="I352" s="98">
        <v>446416</v>
      </c>
      <c r="J352" s="98">
        <v>183502</v>
      </c>
      <c r="K352" s="98">
        <v>-7670</v>
      </c>
      <c r="L352" s="99"/>
      <c r="M352" s="99"/>
      <c r="N352" s="99"/>
      <c r="O352" s="99"/>
      <c r="P352" s="98">
        <v>943757</v>
      </c>
    </row>
    <row r="353" spans="1:17" ht="15.75" thickBot="1" x14ac:dyDescent="0.25">
      <c r="A353" s="101"/>
      <c r="B353" s="100" t="s">
        <v>702</v>
      </c>
      <c r="C353" s="100" t="s">
        <v>702</v>
      </c>
      <c r="D353" s="99"/>
      <c r="E353" s="99"/>
      <c r="F353" s="98">
        <v>435000</v>
      </c>
      <c r="G353" s="98">
        <v>435000</v>
      </c>
      <c r="H353" s="98">
        <v>435000</v>
      </c>
      <c r="I353" s="98">
        <v>435000</v>
      </c>
      <c r="J353" s="98">
        <v>1442020</v>
      </c>
      <c r="K353" s="98">
        <v>4561080</v>
      </c>
      <c r="L353" s="98">
        <v>1298500</v>
      </c>
      <c r="M353" s="99"/>
      <c r="N353" s="98">
        <v>468000</v>
      </c>
      <c r="O353" s="99"/>
      <c r="P353" s="98">
        <v>9509600</v>
      </c>
    </row>
    <row r="354" spans="1:17" ht="15.75" thickBot="1" x14ac:dyDescent="0.25">
      <c r="A354" s="101"/>
      <c r="B354" s="100" t="s">
        <v>701</v>
      </c>
      <c r="C354" s="100" t="s">
        <v>700</v>
      </c>
      <c r="D354" s="99"/>
      <c r="E354" s="99"/>
      <c r="F354" s="99"/>
      <c r="G354" s="99"/>
      <c r="H354" s="99"/>
      <c r="I354" s="99"/>
      <c r="J354" s="99"/>
      <c r="K354" s="99"/>
      <c r="L354" s="98">
        <v>10690166</v>
      </c>
      <c r="M354" s="98">
        <v>1471631</v>
      </c>
      <c r="N354" s="98">
        <v>7432006</v>
      </c>
      <c r="O354" s="98">
        <v>3323505</v>
      </c>
      <c r="P354" s="98">
        <v>22917308</v>
      </c>
    </row>
    <row r="355" spans="1:17" ht="30.75" thickBot="1" x14ac:dyDescent="0.25">
      <c r="A355" s="101"/>
      <c r="B355" s="100"/>
      <c r="C355" s="100" t="s">
        <v>716</v>
      </c>
      <c r="D355" s="99"/>
      <c r="E355" s="99"/>
      <c r="F355" s="99"/>
      <c r="G355" s="99"/>
      <c r="H355" s="99"/>
      <c r="I355" s="99"/>
      <c r="J355" s="99"/>
      <c r="K355" s="99"/>
      <c r="L355" s="98">
        <v>396419</v>
      </c>
      <c r="M355" s="98">
        <v>154677</v>
      </c>
      <c r="N355" s="98">
        <v>264637</v>
      </c>
      <c r="O355" s="98">
        <v>372726</v>
      </c>
      <c r="P355" s="98">
        <v>1188459</v>
      </c>
    </row>
    <row r="356" spans="1:17" ht="60.75" thickBot="1" x14ac:dyDescent="0.25">
      <c r="A356" s="101"/>
      <c r="B356" s="100" t="s">
        <v>699</v>
      </c>
      <c r="C356" s="100" t="s">
        <v>699</v>
      </c>
      <c r="D356" s="99"/>
      <c r="E356" s="99"/>
      <c r="F356" s="99"/>
      <c r="G356" s="99"/>
      <c r="H356" s="99"/>
      <c r="I356" s="99"/>
      <c r="J356" s="99"/>
      <c r="K356" s="99"/>
      <c r="L356" s="98">
        <v>506000</v>
      </c>
      <c r="M356" s="99"/>
      <c r="N356" s="99"/>
      <c r="O356" s="99"/>
      <c r="P356" s="98">
        <v>506000</v>
      </c>
    </row>
    <row r="357" spans="1:17" ht="30.75" thickBot="1" x14ac:dyDescent="0.25">
      <c r="A357" s="97" t="s">
        <v>740</v>
      </c>
      <c r="B357" s="97"/>
      <c r="C357" s="97"/>
      <c r="D357" s="96"/>
      <c r="E357" s="96"/>
      <c r="F357" s="95">
        <v>435000</v>
      </c>
      <c r="G357" s="95">
        <v>435000</v>
      </c>
      <c r="H357" s="95">
        <v>756509</v>
      </c>
      <c r="I357" s="95">
        <v>881416</v>
      </c>
      <c r="J357" s="95">
        <v>1625522</v>
      </c>
      <c r="K357" s="95">
        <v>4553410</v>
      </c>
      <c r="L357" s="95">
        <v>12891085</v>
      </c>
      <c r="M357" s="95">
        <v>1626308</v>
      </c>
      <c r="N357" s="95">
        <v>8164643</v>
      </c>
      <c r="O357" s="95">
        <v>3696231</v>
      </c>
      <c r="P357" s="95">
        <v>35065124</v>
      </c>
      <c r="Q357" s="91" t="s">
        <v>617</v>
      </c>
    </row>
    <row r="358" spans="1:17" ht="15.75" thickBot="1" x14ac:dyDescent="0.25">
      <c r="A358" s="101" t="s">
        <v>110</v>
      </c>
      <c r="B358" s="100" t="s">
        <v>665</v>
      </c>
      <c r="C358" s="100" t="s">
        <v>665</v>
      </c>
      <c r="D358" s="99"/>
      <c r="E358" s="99"/>
      <c r="F358" s="99"/>
      <c r="G358" s="99"/>
      <c r="H358" s="99"/>
      <c r="I358" s="99"/>
      <c r="J358" s="99"/>
      <c r="K358" s="99"/>
      <c r="L358" s="98">
        <v>22098500</v>
      </c>
      <c r="M358" s="99"/>
      <c r="N358" s="99"/>
      <c r="O358" s="99"/>
      <c r="P358" s="98">
        <v>22098500</v>
      </c>
    </row>
    <row r="359" spans="1:17" ht="15.75" thickBot="1" x14ac:dyDescent="0.25">
      <c r="A359" s="101"/>
      <c r="B359" s="100" t="s">
        <v>703</v>
      </c>
      <c r="C359" s="100" t="s">
        <v>703</v>
      </c>
      <c r="D359" s="99"/>
      <c r="E359" s="99"/>
      <c r="F359" s="99"/>
      <c r="G359" s="99"/>
      <c r="H359" s="99"/>
      <c r="I359" s="99"/>
      <c r="J359" s="99"/>
      <c r="K359" s="98">
        <v>2413911</v>
      </c>
      <c r="L359" s="98">
        <v>4401797</v>
      </c>
      <c r="M359" s="98">
        <v>976062</v>
      </c>
      <c r="N359" s="99"/>
      <c r="O359" s="99"/>
      <c r="P359" s="98">
        <v>7791770</v>
      </c>
    </row>
    <row r="360" spans="1:17" ht="15.75" thickBot="1" x14ac:dyDescent="0.25">
      <c r="A360" s="101"/>
      <c r="B360" s="100" t="s">
        <v>702</v>
      </c>
      <c r="C360" s="100" t="s">
        <v>702</v>
      </c>
      <c r="D360" s="99"/>
      <c r="E360" s="99"/>
      <c r="F360" s="98">
        <v>432900</v>
      </c>
      <c r="G360" s="99"/>
      <c r="H360" s="98">
        <v>1008117</v>
      </c>
      <c r="I360" s="98">
        <v>5599562</v>
      </c>
      <c r="J360" s="98">
        <v>6909421</v>
      </c>
      <c r="K360" s="99"/>
      <c r="L360" s="98">
        <v>16687000</v>
      </c>
      <c r="M360" s="99"/>
      <c r="N360" s="99"/>
      <c r="O360" s="99"/>
      <c r="P360" s="98">
        <v>30637000</v>
      </c>
    </row>
    <row r="361" spans="1:17" ht="30.75" thickBot="1" x14ac:dyDescent="0.25">
      <c r="A361" s="101"/>
      <c r="B361" s="100" t="s">
        <v>701</v>
      </c>
      <c r="C361" s="100" t="s">
        <v>716</v>
      </c>
      <c r="D361" s="99"/>
      <c r="E361" s="99"/>
      <c r="F361" s="99"/>
      <c r="G361" s="98">
        <v>5849368</v>
      </c>
      <c r="H361" s="99"/>
      <c r="I361" s="98">
        <v>-2928609</v>
      </c>
      <c r="J361" s="99"/>
      <c r="K361" s="98">
        <v>7616125</v>
      </c>
      <c r="L361" s="98">
        <v>7816708</v>
      </c>
      <c r="M361" s="98">
        <v>4241161</v>
      </c>
      <c r="N361" s="98">
        <v>7620608</v>
      </c>
      <c r="O361" s="98">
        <v>183670</v>
      </c>
      <c r="P361" s="98">
        <v>30399032</v>
      </c>
    </row>
    <row r="362" spans="1:17" ht="60.75" thickBot="1" x14ac:dyDescent="0.25">
      <c r="A362" s="101"/>
      <c r="B362" s="100" t="s">
        <v>699</v>
      </c>
      <c r="C362" s="100" t="s">
        <v>699</v>
      </c>
      <c r="D362" s="99"/>
      <c r="E362" s="99"/>
      <c r="F362" s="99"/>
      <c r="G362" s="99"/>
      <c r="H362" s="98">
        <v>100000</v>
      </c>
      <c r="I362" s="99"/>
      <c r="J362" s="99"/>
      <c r="K362" s="99"/>
      <c r="L362" s="99"/>
      <c r="M362" s="99"/>
      <c r="N362" s="99"/>
      <c r="O362" s="99"/>
      <c r="P362" s="98">
        <v>100000</v>
      </c>
    </row>
    <row r="363" spans="1:17" ht="30.75" thickBot="1" x14ac:dyDescent="0.25">
      <c r="A363" s="97" t="s">
        <v>739</v>
      </c>
      <c r="B363" s="97"/>
      <c r="C363" s="97"/>
      <c r="D363" s="96"/>
      <c r="E363" s="96"/>
      <c r="F363" s="95">
        <v>432900</v>
      </c>
      <c r="G363" s="95">
        <v>5849368</v>
      </c>
      <c r="H363" s="95">
        <v>1108117</v>
      </c>
      <c r="I363" s="95">
        <v>2670953</v>
      </c>
      <c r="J363" s="95">
        <v>6909421</v>
      </c>
      <c r="K363" s="95">
        <v>10030036</v>
      </c>
      <c r="L363" s="95">
        <v>51004005</v>
      </c>
      <c r="M363" s="95">
        <v>5217224</v>
      </c>
      <c r="N363" s="95">
        <v>7620608</v>
      </c>
      <c r="O363" s="95">
        <v>183670</v>
      </c>
      <c r="P363" s="95">
        <v>91026303</v>
      </c>
      <c r="Q363" s="91" t="s">
        <v>706</v>
      </c>
    </row>
    <row r="364" spans="1:17" ht="30.75" thickBot="1" x14ac:dyDescent="0.25">
      <c r="A364" s="101" t="s">
        <v>151</v>
      </c>
      <c r="B364" s="100" t="s">
        <v>718</v>
      </c>
      <c r="C364" s="100" t="s">
        <v>717</v>
      </c>
      <c r="D364" s="99"/>
      <c r="E364" s="99"/>
      <c r="F364" s="99"/>
      <c r="G364" s="99"/>
      <c r="H364" s="99"/>
      <c r="I364" s="99"/>
      <c r="J364" s="99"/>
      <c r="K364" s="99"/>
      <c r="L364" s="98">
        <v>100000</v>
      </c>
      <c r="M364" s="99"/>
      <c r="N364" s="99"/>
      <c r="O364" s="99"/>
      <c r="P364" s="98">
        <v>100000</v>
      </c>
    </row>
    <row r="365" spans="1:17" ht="30.75" thickBot="1" x14ac:dyDescent="0.25">
      <c r="A365" s="101"/>
      <c r="B365" s="100"/>
      <c r="C365" s="100" t="s">
        <v>738</v>
      </c>
      <c r="D365" s="99"/>
      <c r="E365" s="99"/>
      <c r="F365" s="99"/>
      <c r="G365" s="99"/>
      <c r="H365" s="99"/>
      <c r="I365" s="99"/>
      <c r="J365" s="99"/>
      <c r="K365" s="99"/>
      <c r="L365" s="99"/>
      <c r="M365" s="98">
        <v>3038000</v>
      </c>
      <c r="N365" s="98">
        <v>1549000</v>
      </c>
      <c r="O365" s="99"/>
      <c r="P365" s="98">
        <v>4587000</v>
      </c>
    </row>
    <row r="366" spans="1:17" ht="15.75" thickBot="1" x14ac:dyDescent="0.25">
      <c r="A366" s="101"/>
      <c r="B366" s="100" t="s">
        <v>665</v>
      </c>
      <c r="C366" s="100" t="s">
        <v>665</v>
      </c>
      <c r="D366" s="99"/>
      <c r="E366" s="99"/>
      <c r="F366" s="99"/>
      <c r="G366" s="99"/>
      <c r="H366" s="99"/>
      <c r="I366" s="99"/>
      <c r="J366" s="99"/>
      <c r="K366" s="99"/>
      <c r="L366" s="98">
        <v>16898500</v>
      </c>
      <c r="M366" s="99"/>
      <c r="N366" s="99"/>
      <c r="O366" s="99"/>
      <c r="P366" s="98">
        <v>16898500</v>
      </c>
    </row>
    <row r="367" spans="1:17" ht="15.75" thickBot="1" x14ac:dyDescent="0.25">
      <c r="A367" s="101"/>
      <c r="B367" s="100" t="s">
        <v>703</v>
      </c>
      <c r="C367" s="100" t="s">
        <v>703</v>
      </c>
      <c r="D367" s="99"/>
      <c r="E367" s="99"/>
      <c r="F367" s="99"/>
      <c r="G367" s="98">
        <v>6202509</v>
      </c>
      <c r="H367" s="99"/>
      <c r="I367" s="98">
        <v>1375040</v>
      </c>
      <c r="J367" s="99"/>
      <c r="K367" s="98">
        <v>-172467</v>
      </c>
      <c r="L367" s="99"/>
      <c r="M367" s="99"/>
      <c r="N367" s="99"/>
      <c r="O367" s="99"/>
      <c r="P367" s="98">
        <v>7405082</v>
      </c>
    </row>
    <row r="368" spans="1:17" ht="15.75" thickBot="1" x14ac:dyDescent="0.25">
      <c r="A368" s="101"/>
      <c r="B368" s="100" t="s">
        <v>702</v>
      </c>
      <c r="C368" s="100" t="s">
        <v>702</v>
      </c>
      <c r="D368" s="99"/>
      <c r="E368" s="99"/>
      <c r="F368" s="99"/>
      <c r="G368" s="98">
        <v>2455000</v>
      </c>
      <c r="H368" s="98">
        <v>6050000</v>
      </c>
      <c r="I368" s="99"/>
      <c r="J368" s="98">
        <v>7063000</v>
      </c>
      <c r="K368" s="98">
        <v>3000000</v>
      </c>
      <c r="L368" s="98">
        <v>550000</v>
      </c>
      <c r="M368" s="99"/>
      <c r="N368" s="98">
        <v>14983500</v>
      </c>
      <c r="O368" s="99"/>
      <c r="P368" s="98">
        <v>34101500</v>
      </c>
    </row>
    <row r="369" spans="1:17" ht="30.75" thickBot="1" x14ac:dyDescent="0.25">
      <c r="A369" s="101"/>
      <c r="B369" s="100" t="s">
        <v>701</v>
      </c>
      <c r="C369" s="100" t="s">
        <v>710</v>
      </c>
      <c r="D369" s="99"/>
      <c r="E369" s="98">
        <v>6175231</v>
      </c>
      <c r="F369" s="98">
        <v>3240777</v>
      </c>
      <c r="G369" s="98">
        <v>2780986</v>
      </c>
      <c r="H369" s="98">
        <v>1969192</v>
      </c>
      <c r="I369" s="98">
        <v>7025022</v>
      </c>
      <c r="J369" s="98">
        <v>3762116</v>
      </c>
      <c r="K369" s="99"/>
      <c r="L369" s="99"/>
      <c r="M369" s="99"/>
      <c r="N369" s="99"/>
      <c r="O369" s="99"/>
      <c r="P369" s="98">
        <v>24953324</v>
      </c>
    </row>
    <row r="370" spans="1:17" ht="15.75" thickBot="1" x14ac:dyDescent="0.25">
      <c r="A370" s="101"/>
      <c r="B370" s="100"/>
      <c r="C370" s="100" t="s">
        <v>700</v>
      </c>
      <c r="D370" s="99"/>
      <c r="E370" s="99"/>
      <c r="F370" s="99"/>
      <c r="G370" s="99"/>
      <c r="H370" s="99"/>
      <c r="I370" s="99"/>
      <c r="J370" s="99"/>
      <c r="K370" s="99"/>
      <c r="L370" s="98">
        <v>53549550</v>
      </c>
      <c r="M370" s="98">
        <v>38439857</v>
      </c>
      <c r="N370" s="98">
        <v>78030395</v>
      </c>
      <c r="O370" s="98">
        <v>771178</v>
      </c>
      <c r="P370" s="98">
        <v>170790980</v>
      </c>
    </row>
    <row r="371" spans="1:17" ht="45.75" thickBot="1" x14ac:dyDescent="0.25">
      <c r="A371" s="101"/>
      <c r="B371" s="100"/>
      <c r="C371" s="100" t="s">
        <v>720</v>
      </c>
      <c r="D371" s="99"/>
      <c r="E371" s="99"/>
      <c r="F371" s="99"/>
      <c r="G371" s="99"/>
      <c r="H371" s="99"/>
      <c r="I371" s="98">
        <v>-276019</v>
      </c>
      <c r="J371" s="98">
        <v>12567570</v>
      </c>
      <c r="K371" s="98">
        <v>28792145</v>
      </c>
      <c r="L371" s="99"/>
      <c r="M371" s="98">
        <v>-9695961</v>
      </c>
      <c r="N371" s="99"/>
      <c r="O371" s="99"/>
      <c r="P371" s="98">
        <v>31387734</v>
      </c>
    </row>
    <row r="372" spans="1:17" ht="60.75" thickBot="1" x14ac:dyDescent="0.25">
      <c r="A372" s="101"/>
      <c r="B372" s="100" t="s">
        <v>699</v>
      </c>
      <c r="C372" s="100" t="s">
        <v>699</v>
      </c>
      <c r="D372" s="99"/>
      <c r="E372" s="99"/>
      <c r="F372" s="99"/>
      <c r="G372" s="98">
        <v>100000</v>
      </c>
      <c r="H372" s="99"/>
      <c r="I372" s="99"/>
      <c r="J372" s="99"/>
      <c r="K372" s="99"/>
      <c r="L372" s="99"/>
      <c r="M372" s="99"/>
      <c r="N372" s="98">
        <v>811000</v>
      </c>
      <c r="O372" s="98">
        <v>1000000</v>
      </c>
      <c r="P372" s="98">
        <v>1911000</v>
      </c>
    </row>
    <row r="373" spans="1:17" ht="30.75" thickBot="1" x14ac:dyDescent="0.25">
      <c r="A373" s="97" t="s">
        <v>737</v>
      </c>
      <c r="B373" s="97"/>
      <c r="C373" s="97"/>
      <c r="D373" s="96"/>
      <c r="E373" s="95">
        <v>6175231</v>
      </c>
      <c r="F373" s="95">
        <v>3240777</v>
      </c>
      <c r="G373" s="95">
        <v>11538495</v>
      </c>
      <c r="H373" s="95">
        <v>8019192</v>
      </c>
      <c r="I373" s="95">
        <v>8124042</v>
      </c>
      <c r="J373" s="95">
        <v>23392686</v>
      </c>
      <c r="K373" s="95">
        <v>31619677</v>
      </c>
      <c r="L373" s="95">
        <v>71098050</v>
      </c>
      <c r="M373" s="95">
        <v>31781896</v>
      </c>
      <c r="N373" s="95">
        <v>95373895</v>
      </c>
      <c r="O373" s="95">
        <v>1771178</v>
      </c>
      <c r="P373" s="95">
        <v>292135120</v>
      </c>
      <c r="Q373" s="91" t="s">
        <v>706</v>
      </c>
    </row>
    <row r="374" spans="1:17" ht="30.75" thickBot="1" x14ac:dyDescent="0.25">
      <c r="A374" s="101" t="s">
        <v>736</v>
      </c>
      <c r="B374" s="100" t="s">
        <v>702</v>
      </c>
      <c r="C374" s="100" t="s">
        <v>702</v>
      </c>
      <c r="D374" s="99"/>
      <c r="E374" s="99"/>
      <c r="F374" s="99"/>
      <c r="G374" s="99"/>
      <c r="H374" s="99"/>
      <c r="I374" s="99"/>
      <c r="J374" s="98">
        <v>108500</v>
      </c>
      <c r="K374" s="98">
        <v>325500</v>
      </c>
      <c r="L374" s="99"/>
      <c r="M374" s="99"/>
      <c r="N374" s="99"/>
      <c r="O374" s="99"/>
      <c r="P374" s="98">
        <v>434000</v>
      </c>
    </row>
    <row r="375" spans="1:17" ht="15.75" thickBot="1" x14ac:dyDescent="0.25">
      <c r="A375" s="101"/>
      <c r="B375" s="100" t="s">
        <v>701</v>
      </c>
      <c r="C375" s="100" t="s">
        <v>700</v>
      </c>
      <c r="D375" s="99"/>
      <c r="E375" s="99"/>
      <c r="F375" s="99"/>
      <c r="G375" s="99"/>
      <c r="H375" s="99"/>
      <c r="I375" s="99"/>
      <c r="J375" s="99"/>
      <c r="K375" s="99"/>
      <c r="L375" s="98">
        <v>2309693</v>
      </c>
      <c r="M375" s="98">
        <v>24829</v>
      </c>
      <c r="N375" s="98">
        <v>2452863</v>
      </c>
      <c r="O375" s="99"/>
      <c r="P375" s="98">
        <v>4787385</v>
      </c>
    </row>
    <row r="376" spans="1:17" ht="30.75" thickBot="1" x14ac:dyDescent="0.25">
      <c r="A376" s="101"/>
      <c r="B376" s="100"/>
      <c r="C376" s="100" t="s">
        <v>705</v>
      </c>
      <c r="D376" s="99"/>
      <c r="E376" s="99"/>
      <c r="F376" s="99"/>
      <c r="G376" s="99"/>
      <c r="H376" s="99"/>
      <c r="I376" s="99"/>
      <c r="J376" s="99"/>
      <c r="K376" s="98">
        <v>2527939</v>
      </c>
      <c r="L376" s="98">
        <v>955491</v>
      </c>
      <c r="M376" s="98">
        <v>-1961547</v>
      </c>
      <c r="N376" s="99"/>
      <c r="O376" s="99"/>
      <c r="P376" s="98">
        <v>1521883</v>
      </c>
    </row>
    <row r="377" spans="1:17" ht="60.75" thickBot="1" x14ac:dyDescent="0.25">
      <c r="A377" s="101"/>
      <c r="B377" s="100" t="s">
        <v>699</v>
      </c>
      <c r="C377" s="100" t="s">
        <v>699</v>
      </c>
      <c r="D377" s="99"/>
      <c r="E377" s="99"/>
      <c r="F377" s="99"/>
      <c r="G377" s="99"/>
      <c r="H377" s="99"/>
      <c r="I377" s="99"/>
      <c r="J377" s="99"/>
      <c r="K377" s="98">
        <v>100000</v>
      </c>
      <c r="L377" s="98">
        <v>100000</v>
      </c>
      <c r="M377" s="99"/>
      <c r="N377" s="99"/>
      <c r="O377" s="99"/>
      <c r="P377" s="98">
        <v>200000</v>
      </c>
    </row>
    <row r="378" spans="1:17" ht="30.75" thickBot="1" x14ac:dyDescent="0.25">
      <c r="A378" s="97" t="s">
        <v>735</v>
      </c>
      <c r="B378" s="97"/>
      <c r="C378" s="97"/>
      <c r="D378" s="96"/>
      <c r="E378" s="96"/>
      <c r="F378" s="96"/>
      <c r="G378" s="96"/>
      <c r="H378" s="96"/>
      <c r="I378" s="96"/>
      <c r="J378" s="95">
        <v>108500</v>
      </c>
      <c r="K378" s="95">
        <v>2953439</v>
      </c>
      <c r="L378" s="95">
        <v>3365184</v>
      </c>
      <c r="M378" s="95">
        <v>-1936718</v>
      </c>
      <c r="N378" s="95">
        <v>2452863</v>
      </c>
      <c r="O378" s="96"/>
      <c r="P378" s="95">
        <v>6943268</v>
      </c>
      <c r="Q378" s="91" t="s">
        <v>706</v>
      </c>
    </row>
    <row r="379" spans="1:17" ht="15.75" thickBot="1" x14ac:dyDescent="0.25">
      <c r="A379" s="101" t="s">
        <v>76</v>
      </c>
      <c r="B379" s="100" t="s">
        <v>665</v>
      </c>
      <c r="C379" s="100" t="s">
        <v>665</v>
      </c>
      <c r="D379" s="99"/>
      <c r="E379" s="99"/>
      <c r="F379" s="99"/>
      <c r="G379" s="99"/>
      <c r="H379" s="99"/>
      <c r="I379" s="99"/>
      <c r="J379" s="99"/>
      <c r="K379" s="98">
        <v>2174000</v>
      </c>
      <c r="L379" s="98">
        <v>1715500</v>
      </c>
      <c r="M379" s="99"/>
      <c r="N379" s="99"/>
      <c r="O379" s="98">
        <v>1715500</v>
      </c>
      <c r="P379" s="98">
        <v>5605000</v>
      </c>
    </row>
    <row r="380" spans="1:17" ht="15.75" thickBot="1" x14ac:dyDescent="0.25">
      <c r="A380" s="101"/>
      <c r="B380" s="100" t="s">
        <v>703</v>
      </c>
      <c r="C380" s="100" t="s">
        <v>703</v>
      </c>
      <c r="D380" s="99"/>
      <c r="E380" s="99"/>
      <c r="F380" s="99"/>
      <c r="G380" s="98">
        <v>136500</v>
      </c>
      <c r="H380" s="98">
        <v>233000</v>
      </c>
      <c r="I380" s="99"/>
      <c r="J380" s="99"/>
      <c r="K380" s="99"/>
      <c r="L380" s="99"/>
      <c r="M380" s="99"/>
      <c r="N380" s="99"/>
      <c r="O380" s="99"/>
      <c r="P380" s="98">
        <v>369500</v>
      </c>
    </row>
    <row r="381" spans="1:17" ht="15.75" thickBot="1" x14ac:dyDescent="0.25">
      <c r="A381" s="101"/>
      <c r="B381" s="100" t="s">
        <v>702</v>
      </c>
      <c r="C381" s="100" t="s">
        <v>702</v>
      </c>
      <c r="D381" s="98">
        <v>454000</v>
      </c>
      <c r="E381" s="99"/>
      <c r="F381" s="99"/>
      <c r="G381" s="98">
        <v>1362000</v>
      </c>
      <c r="H381" s="98">
        <v>151500</v>
      </c>
      <c r="I381" s="98">
        <v>342700</v>
      </c>
      <c r="J381" s="98">
        <v>419500</v>
      </c>
      <c r="K381" s="98">
        <v>134000</v>
      </c>
      <c r="L381" s="99"/>
      <c r="M381" s="99"/>
      <c r="N381" s="99"/>
      <c r="O381" s="98">
        <v>95000</v>
      </c>
      <c r="P381" s="98">
        <v>2958700</v>
      </c>
    </row>
    <row r="382" spans="1:17" ht="15.75" thickBot="1" x14ac:dyDescent="0.25">
      <c r="A382" s="101"/>
      <c r="B382" s="100" t="s">
        <v>701</v>
      </c>
      <c r="C382" s="100" t="s">
        <v>700</v>
      </c>
      <c r="D382" s="99"/>
      <c r="E382" s="98">
        <v>8493539</v>
      </c>
      <c r="F382" s="98">
        <v>1862139</v>
      </c>
      <c r="G382" s="98">
        <v>4117592</v>
      </c>
      <c r="H382" s="98">
        <v>1499435</v>
      </c>
      <c r="I382" s="98">
        <v>2565496</v>
      </c>
      <c r="J382" s="98">
        <v>722527</v>
      </c>
      <c r="K382" s="98">
        <v>4353288</v>
      </c>
      <c r="L382" s="98">
        <v>4334074</v>
      </c>
      <c r="M382" s="98">
        <v>2730801</v>
      </c>
      <c r="N382" s="98">
        <v>1577587</v>
      </c>
      <c r="O382" s="98">
        <v>1704111</v>
      </c>
      <c r="P382" s="98">
        <v>33960589</v>
      </c>
    </row>
    <row r="383" spans="1:17" ht="15.75" thickBot="1" x14ac:dyDescent="0.25">
      <c r="A383" s="101"/>
      <c r="B383" s="100"/>
      <c r="C383" s="100" t="s">
        <v>708</v>
      </c>
      <c r="D383" s="99"/>
      <c r="E383" s="99"/>
      <c r="F383" s="99"/>
      <c r="G383" s="99"/>
      <c r="H383" s="99"/>
      <c r="I383" s="99"/>
      <c r="J383" s="99"/>
      <c r="K383" s="99"/>
      <c r="L383" s="99"/>
      <c r="M383" s="98">
        <v>743184</v>
      </c>
      <c r="N383" s="98">
        <v>343270</v>
      </c>
      <c r="O383" s="98">
        <v>3648468</v>
      </c>
      <c r="P383" s="98">
        <v>4734922</v>
      </c>
    </row>
    <row r="384" spans="1:17" ht="60.75" thickBot="1" x14ac:dyDescent="0.25">
      <c r="A384" s="101"/>
      <c r="B384" s="100" t="s">
        <v>699</v>
      </c>
      <c r="C384" s="100" t="s">
        <v>699</v>
      </c>
      <c r="D384" s="99"/>
      <c r="E384" s="99"/>
      <c r="F384" s="98">
        <v>100000</v>
      </c>
      <c r="G384" s="99"/>
      <c r="H384" s="99"/>
      <c r="I384" s="99"/>
      <c r="J384" s="99"/>
      <c r="K384" s="99"/>
      <c r="L384" s="98">
        <v>117000</v>
      </c>
      <c r="M384" s="98">
        <v>422650</v>
      </c>
      <c r="N384" s="99"/>
      <c r="O384" s="99"/>
      <c r="P384" s="98">
        <v>639650</v>
      </c>
    </row>
    <row r="385" spans="1:17" ht="30.75" thickBot="1" x14ac:dyDescent="0.25">
      <c r="A385" s="97" t="s">
        <v>734</v>
      </c>
      <c r="B385" s="97"/>
      <c r="C385" s="97"/>
      <c r="D385" s="95">
        <v>454000</v>
      </c>
      <c r="E385" s="95">
        <v>8493539</v>
      </c>
      <c r="F385" s="95">
        <v>1962139</v>
      </c>
      <c r="G385" s="95">
        <v>5616092</v>
      </c>
      <c r="H385" s="95">
        <v>1883935</v>
      </c>
      <c r="I385" s="95">
        <v>2908196</v>
      </c>
      <c r="J385" s="95">
        <v>1142027</v>
      </c>
      <c r="K385" s="95">
        <v>6661288</v>
      </c>
      <c r="L385" s="95">
        <v>6166574</v>
      </c>
      <c r="M385" s="95">
        <v>3896635</v>
      </c>
      <c r="N385" s="95">
        <v>1920857</v>
      </c>
      <c r="O385" s="95">
        <v>7163079</v>
      </c>
      <c r="P385" s="95">
        <v>48268361</v>
      </c>
      <c r="Q385" s="91" t="s">
        <v>617</v>
      </c>
    </row>
    <row r="386" spans="1:17" ht="30.75" thickBot="1" x14ac:dyDescent="0.25">
      <c r="A386" s="101" t="s">
        <v>733</v>
      </c>
      <c r="B386" s="100" t="s">
        <v>703</v>
      </c>
      <c r="C386" s="100" t="s">
        <v>703</v>
      </c>
      <c r="D386" s="99"/>
      <c r="E386" s="99"/>
      <c r="F386" s="99"/>
      <c r="G386" s="98">
        <v>4909</v>
      </c>
      <c r="H386" s="98">
        <v>4114</v>
      </c>
      <c r="I386" s="98">
        <v>10332</v>
      </c>
      <c r="J386" s="98">
        <v>2301</v>
      </c>
      <c r="K386" s="99"/>
      <c r="L386" s="99"/>
      <c r="M386" s="99"/>
      <c r="N386" s="99"/>
      <c r="O386" s="99"/>
      <c r="P386" s="98">
        <v>21656</v>
      </c>
    </row>
    <row r="387" spans="1:17" ht="15.75" thickBot="1" x14ac:dyDescent="0.25">
      <c r="A387" s="101"/>
      <c r="B387" s="100" t="s">
        <v>702</v>
      </c>
      <c r="C387" s="100" t="s">
        <v>702</v>
      </c>
      <c r="D387" s="99"/>
      <c r="E387" s="98">
        <v>15000</v>
      </c>
      <c r="F387" s="98">
        <v>15000</v>
      </c>
      <c r="G387" s="98">
        <v>30000</v>
      </c>
      <c r="H387" s="99"/>
      <c r="I387" s="99"/>
      <c r="J387" s="99"/>
      <c r="K387" s="99"/>
      <c r="L387" s="99"/>
      <c r="M387" s="99"/>
      <c r="N387" s="99"/>
      <c r="O387" s="99"/>
      <c r="P387" s="98">
        <v>60000</v>
      </c>
    </row>
    <row r="388" spans="1:17" ht="30.75" thickBot="1" x14ac:dyDescent="0.25">
      <c r="A388" s="101"/>
      <c r="B388" s="100" t="s">
        <v>701</v>
      </c>
      <c r="C388" s="100" t="s">
        <v>710</v>
      </c>
      <c r="D388" s="99"/>
      <c r="E388" s="99"/>
      <c r="F388" s="98">
        <v>10000</v>
      </c>
      <c r="G388" s="98">
        <v>6000</v>
      </c>
      <c r="H388" s="98">
        <v>1832</v>
      </c>
      <c r="I388" s="98">
        <v>13868</v>
      </c>
      <c r="J388" s="98">
        <v>-1087</v>
      </c>
      <c r="K388" s="98">
        <v>1657</v>
      </c>
      <c r="L388" s="98">
        <v>5353</v>
      </c>
      <c r="M388" s="98">
        <v>1503</v>
      </c>
      <c r="N388" s="99">
        <v>-72</v>
      </c>
      <c r="O388" s="99"/>
      <c r="P388" s="98">
        <v>39054</v>
      </c>
    </row>
    <row r="389" spans="1:17" ht="15.75" thickBot="1" x14ac:dyDescent="0.25">
      <c r="A389" s="101"/>
      <c r="B389" s="100"/>
      <c r="C389" s="100" t="s">
        <v>700</v>
      </c>
      <c r="D389" s="99"/>
      <c r="E389" s="99"/>
      <c r="F389" s="99"/>
      <c r="G389" s="99"/>
      <c r="H389" s="99"/>
      <c r="I389" s="99"/>
      <c r="J389" s="99"/>
      <c r="K389" s="99"/>
      <c r="L389" s="99"/>
      <c r="M389" s="98">
        <v>117339</v>
      </c>
      <c r="N389" s="98">
        <v>62212</v>
      </c>
      <c r="O389" s="99"/>
      <c r="P389" s="98">
        <v>179551</v>
      </c>
    </row>
    <row r="390" spans="1:17" ht="30.75" thickBot="1" x14ac:dyDescent="0.25">
      <c r="A390" s="101"/>
      <c r="B390" s="100"/>
      <c r="C390" s="100" t="s">
        <v>716</v>
      </c>
      <c r="D390" s="99"/>
      <c r="E390" s="99"/>
      <c r="F390" s="98">
        <v>5654</v>
      </c>
      <c r="G390" s="98">
        <v>6539</v>
      </c>
      <c r="H390" s="98">
        <v>7072</v>
      </c>
      <c r="I390" s="98">
        <v>8135</v>
      </c>
      <c r="J390" s="99">
        <v>-983</v>
      </c>
      <c r="K390" s="98">
        <v>2927</v>
      </c>
      <c r="L390" s="98">
        <v>7946</v>
      </c>
      <c r="M390" s="98">
        <v>5031</v>
      </c>
      <c r="N390" s="98">
        <v>10453</v>
      </c>
      <c r="O390" s="99"/>
      <c r="P390" s="98">
        <v>52774</v>
      </c>
    </row>
    <row r="391" spans="1:17" ht="60.75" thickBot="1" x14ac:dyDescent="0.25">
      <c r="A391" s="101"/>
      <c r="B391" s="100" t="s">
        <v>699</v>
      </c>
      <c r="C391" s="100" t="s">
        <v>699</v>
      </c>
      <c r="D391" s="99"/>
      <c r="E391" s="99"/>
      <c r="F391" s="99"/>
      <c r="G391" s="98">
        <v>100000</v>
      </c>
      <c r="H391" s="99"/>
      <c r="I391" s="99"/>
      <c r="J391" s="99"/>
      <c r="K391" s="99"/>
      <c r="L391" s="99"/>
      <c r="M391" s="98">
        <v>100000</v>
      </c>
      <c r="N391" s="99"/>
      <c r="O391" s="99"/>
      <c r="P391" s="98">
        <v>200000</v>
      </c>
    </row>
    <row r="392" spans="1:17" ht="45.75" thickBot="1" x14ac:dyDescent="0.25">
      <c r="A392" s="97" t="s">
        <v>732</v>
      </c>
      <c r="B392" s="97"/>
      <c r="C392" s="97"/>
      <c r="D392" s="96"/>
      <c r="E392" s="95">
        <v>15000</v>
      </c>
      <c r="F392" s="95">
        <v>30654</v>
      </c>
      <c r="G392" s="95">
        <v>147448</v>
      </c>
      <c r="H392" s="95">
        <v>13019</v>
      </c>
      <c r="I392" s="95">
        <v>32335</v>
      </c>
      <c r="J392" s="96">
        <v>231</v>
      </c>
      <c r="K392" s="95">
        <v>4584</v>
      </c>
      <c r="L392" s="95">
        <v>13299</v>
      </c>
      <c r="M392" s="95">
        <v>223873</v>
      </c>
      <c r="N392" s="95">
        <v>72593</v>
      </c>
      <c r="O392" s="96"/>
      <c r="P392" s="95">
        <v>553035</v>
      </c>
      <c r="Q392" s="91" t="s">
        <v>706</v>
      </c>
    </row>
    <row r="393" spans="1:17" ht="15.75" thickBot="1" x14ac:dyDescent="0.25">
      <c r="A393" s="101" t="s">
        <v>23</v>
      </c>
      <c r="B393" s="100" t="s">
        <v>665</v>
      </c>
      <c r="C393" s="100" t="s">
        <v>665</v>
      </c>
      <c r="D393" s="99"/>
      <c r="E393" s="99"/>
      <c r="F393" s="99"/>
      <c r="G393" s="99"/>
      <c r="H393" s="99"/>
      <c r="I393" s="99"/>
      <c r="J393" s="99"/>
      <c r="K393" s="99"/>
      <c r="L393" s="99"/>
      <c r="M393" s="98">
        <v>1133000</v>
      </c>
      <c r="N393" s="99"/>
      <c r="O393" s="99"/>
      <c r="P393" s="98">
        <v>1133000</v>
      </c>
    </row>
    <row r="394" spans="1:17" ht="15.75" thickBot="1" x14ac:dyDescent="0.25">
      <c r="A394" s="101"/>
      <c r="B394" s="100" t="s">
        <v>703</v>
      </c>
      <c r="C394" s="100" t="s">
        <v>703</v>
      </c>
      <c r="D394" s="99"/>
      <c r="E394" s="99"/>
      <c r="F394" s="98">
        <v>567467</v>
      </c>
      <c r="G394" s="98">
        <v>275657</v>
      </c>
      <c r="H394" s="99"/>
      <c r="I394" s="98">
        <v>-208224</v>
      </c>
      <c r="J394" s="98">
        <v>-15426</v>
      </c>
      <c r="K394" s="99"/>
      <c r="L394" s="99"/>
      <c r="M394" s="99"/>
      <c r="N394" s="99"/>
      <c r="O394" s="99"/>
      <c r="P394" s="98">
        <v>619474</v>
      </c>
    </row>
    <row r="395" spans="1:17" ht="15.75" thickBot="1" x14ac:dyDescent="0.25">
      <c r="A395" s="101"/>
      <c r="B395" s="100" t="s">
        <v>702</v>
      </c>
      <c r="C395" s="100" t="s">
        <v>702</v>
      </c>
      <c r="D395" s="99"/>
      <c r="E395" s="99"/>
      <c r="F395" s="98">
        <v>123600</v>
      </c>
      <c r="G395" s="98">
        <v>123600</v>
      </c>
      <c r="H395" s="98">
        <v>247200</v>
      </c>
      <c r="I395" s="98">
        <v>790770</v>
      </c>
      <c r="J395" s="98">
        <v>790770</v>
      </c>
      <c r="K395" s="98">
        <v>529800</v>
      </c>
      <c r="L395" s="99"/>
      <c r="M395" s="99"/>
      <c r="N395" s="99"/>
      <c r="O395" s="99"/>
      <c r="P395" s="98">
        <v>2605740</v>
      </c>
    </row>
    <row r="396" spans="1:17" ht="30.75" thickBot="1" x14ac:dyDescent="0.25">
      <c r="A396" s="101"/>
      <c r="B396" s="100" t="s">
        <v>701</v>
      </c>
      <c r="C396" s="100" t="s">
        <v>710</v>
      </c>
      <c r="D396" s="99"/>
      <c r="E396" s="99"/>
      <c r="F396" s="99"/>
      <c r="G396" s="98">
        <v>3943840</v>
      </c>
      <c r="H396" s="99"/>
      <c r="I396" s="98">
        <v>-3355097</v>
      </c>
      <c r="J396" s="99"/>
      <c r="K396" s="99"/>
      <c r="L396" s="99"/>
      <c r="M396" s="99"/>
      <c r="N396" s="99"/>
      <c r="O396" s="99"/>
      <c r="P396" s="98">
        <v>588743</v>
      </c>
    </row>
    <row r="397" spans="1:17" ht="15.75" thickBot="1" x14ac:dyDescent="0.25">
      <c r="A397" s="101"/>
      <c r="B397" s="100"/>
      <c r="C397" s="100" t="s">
        <v>700</v>
      </c>
      <c r="D397" s="99"/>
      <c r="E397" s="99"/>
      <c r="F397" s="99"/>
      <c r="G397" s="99"/>
      <c r="H397" s="98">
        <v>3941862</v>
      </c>
      <c r="I397" s="98">
        <v>1925349</v>
      </c>
      <c r="J397" s="98">
        <v>2620524</v>
      </c>
      <c r="K397" s="98">
        <v>6736277</v>
      </c>
      <c r="L397" s="98">
        <v>5777633</v>
      </c>
      <c r="M397" s="98">
        <v>3057379</v>
      </c>
      <c r="N397" s="98">
        <v>4980407</v>
      </c>
      <c r="O397" s="98">
        <v>-31009</v>
      </c>
      <c r="P397" s="98">
        <v>29008422</v>
      </c>
    </row>
    <row r="398" spans="1:17" ht="60.75" thickBot="1" x14ac:dyDescent="0.25">
      <c r="A398" s="101"/>
      <c r="B398" s="100" t="s">
        <v>699</v>
      </c>
      <c r="C398" s="100" t="s">
        <v>699</v>
      </c>
      <c r="D398" s="99"/>
      <c r="E398" s="99"/>
      <c r="F398" s="99"/>
      <c r="G398" s="99"/>
      <c r="H398" s="98">
        <v>100000</v>
      </c>
      <c r="I398" s="99"/>
      <c r="J398" s="99"/>
      <c r="K398" s="99"/>
      <c r="L398" s="99"/>
      <c r="M398" s="99"/>
      <c r="N398" s="99"/>
      <c r="O398" s="99"/>
      <c r="P398" s="98">
        <v>100000</v>
      </c>
    </row>
    <row r="399" spans="1:17" ht="30.75" thickBot="1" x14ac:dyDescent="0.25">
      <c r="A399" s="97" t="s">
        <v>731</v>
      </c>
      <c r="B399" s="97"/>
      <c r="C399" s="97"/>
      <c r="D399" s="96"/>
      <c r="E399" s="96"/>
      <c r="F399" s="95">
        <v>691067</v>
      </c>
      <c r="G399" s="95">
        <v>4343097</v>
      </c>
      <c r="H399" s="95">
        <v>4289062</v>
      </c>
      <c r="I399" s="95">
        <v>-847202</v>
      </c>
      <c r="J399" s="95">
        <v>3395868</v>
      </c>
      <c r="K399" s="95">
        <v>7266077</v>
      </c>
      <c r="L399" s="95">
        <v>5777633</v>
      </c>
      <c r="M399" s="95">
        <v>4190379</v>
      </c>
      <c r="N399" s="95">
        <v>4980407</v>
      </c>
      <c r="O399" s="95">
        <v>-31009</v>
      </c>
      <c r="P399" s="95">
        <v>34055379</v>
      </c>
      <c r="Q399" s="91" t="s">
        <v>706</v>
      </c>
    </row>
    <row r="400" spans="1:17" ht="30.75" thickBot="1" x14ac:dyDescent="0.25">
      <c r="A400" s="101" t="s">
        <v>75</v>
      </c>
      <c r="B400" s="100" t="s">
        <v>665</v>
      </c>
      <c r="C400" s="100" t="s">
        <v>665</v>
      </c>
      <c r="D400" s="99"/>
      <c r="E400" s="99"/>
      <c r="F400" s="99"/>
      <c r="G400" s="99"/>
      <c r="H400" s="99"/>
      <c r="I400" s="99"/>
      <c r="J400" s="99"/>
      <c r="K400" s="99"/>
      <c r="L400" s="98">
        <v>1154000</v>
      </c>
      <c r="M400" s="99"/>
      <c r="N400" s="98">
        <v>530750</v>
      </c>
      <c r="O400" s="99"/>
      <c r="P400" s="98">
        <v>1684750</v>
      </c>
    </row>
    <row r="401" spans="1:17" ht="15.75" thickBot="1" x14ac:dyDescent="0.25">
      <c r="A401" s="101"/>
      <c r="B401" s="100" t="s">
        <v>703</v>
      </c>
      <c r="C401" s="100" t="s">
        <v>703</v>
      </c>
      <c r="D401" s="99"/>
      <c r="E401" s="99"/>
      <c r="F401" s="98">
        <v>227544</v>
      </c>
      <c r="G401" s="98">
        <v>102647</v>
      </c>
      <c r="H401" s="99"/>
      <c r="I401" s="98">
        <v>-57531</v>
      </c>
      <c r="J401" s="99"/>
      <c r="K401" s="99"/>
      <c r="L401" s="99"/>
      <c r="M401" s="99"/>
      <c r="N401" s="99"/>
      <c r="O401" s="99"/>
      <c r="P401" s="98">
        <v>272660</v>
      </c>
    </row>
    <row r="402" spans="1:17" ht="15.75" thickBot="1" x14ac:dyDescent="0.25">
      <c r="A402" s="101"/>
      <c r="B402" s="100" t="s">
        <v>702</v>
      </c>
      <c r="C402" s="100" t="s">
        <v>702</v>
      </c>
      <c r="D402" s="99"/>
      <c r="E402" s="98">
        <v>90000</v>
      </c>
      <c r="F402" s="98">
        <v>90000</v>
      </c>
      <c r="G402" s="98">
        <v>180000</v>
      </c>
      <c r="H402" s="98">
        <v>268750</v>
      </c>
      <c r="I402" s="98">
        <v>268750</v>
      </c>
      <c r="J402" s="98">
        <v>431440</v>
      </c>
      <c r="K402" s="98">
        <v>635500</v>
      </c>
      <c r="L402" s="99"/>
      <c r="M402" s="99"/>
      <c r="N402" s="99"/>
      <c r="O402" s="99"/>
      <c r="P402" s="98">
        <v>1964440</v>
      </c>
    </row>
    <row r="403" spans="1:17" ht="15.75" thickBot="1" x14ac:dyDescent="0.25">
      <c r="A403" s="101"/>
      <c r="B403" s="100" t="s">
        <v>701</v>
      </c>
      <c r="C403" s="100" t="s">
        <v>700</v>
      </c>
      <c r="D403" s="99"/>
      <c r="E403" s="99"/>
      <c r="F403" s="99"/>
      <c r="G403" s="99"/>
      <c r="H403" s="99"/>
      <c r="I403" s="99"/>
      <c r="J403" s="98">
        <v>1059589</v>
      </c>
      <c r="K403" s="98">
        <v>2628082</v>
      </c>
      <c r="L403" s="98">
        <v>2589727</v>
      </c>
      <c r="M403" s="98">
        <v>1268258</v>
      </c>
      <c r="N403" s="98">
        <v>2925716</v>
      </c>
      <c r="O403" s="99"/>
      <c r="P403" s="98">
        <v>10471372</v>
      </c>
    </row>
    <row r="404" spans="1:17" ht="15.75" thickBot="1" x14ac:dyDescent="0.25">
      <c r="A404" s="101"/>
      <c r="B404" s="100"/>
      <c r="C404" s="100" t="s">
        <v>708</v>
      </c>
      <c r="D404" s="99"/>
      <c r="E404" s="99"/>
      <c r="F404" s="99"/>
      <c r="G404" s="99"/>
      <c r="H404" s="99"/>
      <c r="I404" s="99"/>
      <c r="J404" s="99"/>
      <c r="K404" s="99"/>
      <c r="L404" s="99"/>
      <c r="M404" s="99"/>
      <c r="N404" s="98">
        <v>4150241</v>
      </c>
      <c r="O404" s="98">
        <v>1485540</v>
      </c>
      <c r="P404" s="98">
        <v>5635781</v>
      </c>
    </row>
    <row r="405" spans="1:17" ht="30.75" thickBot="1" x14ac:dyDescent="0.25">
      <c r="A405" s="101"/>
      <c r="B405" s="100"/>
      <c r="C405" s="100" t="s">
        <v>716</v>
      </c>
      <c r="D405" s="99"/>
      <c r="E405" s="99"/>
      <c r="F405" s="98">
        <v>125181</v>
      </c>
      <c r="G405" s="98">
        <v>207181</v>
      </c>
      <c r="H405" s="98">
        <v>70303</v>
      </c>
      <c r="I405" s="98">
        <v>252665</v>
      </c>
      <c r="J405" s="98">
        <v>101382</v>
      </c>
      <c r="K405" s="98">
        <v>218494</v>
      </c>
      <c r="L405" s="98">
        <v>165503</v>
      </c>
      <c r="M405" s="98">
        <v>210574</v>
      </c>
      <c r="N405" s="98">
        <v>352067</v>
      </c>
      <c r="O405" s="99"/>
      <c r="P405" s="98">
        <v>1703351</v>
      </c>
    </row>
    <row r="406" spans="1:17" ht="60.75" thickBot="1" x14ac:dyDescent="0.25">
      <c r="A406" s="101"/>
      <c r="B406" s="100" t="s">
        <v>699</v>
      </c>
      <c r="C406" s="100" t="s">
        <v>699</v>
      </c>
      <c r="D406" s="99"/>
      <c r="E406" s="99"/>
      <c r="F406" s="98">
        <v>100000</v>
      </c>
      <c r="G406" s="99"/>
      <c r="H406" s="99"/>
      <c r="I406" s="99"/>
      <c r="J406" s="99"/>
      <c r="K406" s="99"/>
      <c r="L406" s="99"/>
      <c r="M406" s="99"/>
      <c r="N406" s="98">
        <v>100000</v>
      </c>
      <c r="O406" s="99"/>
      <c r="P406" s="98">
        <v>200000</v>
      </c>
    </row>
    <row r="407" spans="1:17" ht="45.75" thickBot="1" x14ac:dyDescent="0.25">
      <c r="A407" s="97" t="s">
        <v>730</v>
      </c>
      <c r="B407" s="97"/>
      <c r="C407" s="97"/>
      <c r="D407" s="96"/>
      <c r="E407" s="95">
        <v>90000</v>
      </c>
      <c r="F407" s="95">
        <v>542725</v>
      </c>
      <c r="G407" s="95">
        <v>489828</v>
      </c>
      <c r="H407" s="95">
        <v>339053</v>
      </c>
      <c r="I407" s="95">
        <v>463885</v>
      </c>
      <c r="J407" s="95">
        <v>1592411</v>
      </c>
      <c r="K407" s="95">
        <v>3482076</v>
      </c>
      <c r="L407" s="95">
        <v>3909230</v>
      </c>
      <c r="M407" s="95">
        <v>1478832</v>
      </c>
      <c r="N407" s="95">
        <v>8058774</v>
      </c>
      <c r="O407" s="95">
        <v>1485540</v>
      </c>
      <c r="P407" s="95">
        <v>21932354</v>
      </c>
      <c r="Q407" s="91" t="s">
        <v>617</v>
      </c>
    </row>
    <row r="408" spans="1:17" ht="30.75" thickBot="1" x14ac:dyDescent="0.25">
      <c r="A408" s="101" t="s">
        <v>729</v>
      </c>
      <c r="B408" s="100" t="s">
        <v>701</v>
      </c>
      <c r="C408" s="100" t="s">
        <v>700</v>
      </c>
      <c r="D408" s="99"/>
      <c r="E408" s="99"/>
      <c r="F408" s="99"/>
      <c r="G408" s="99"/>
      <c r="H408" s="99"/>
      <c r="I408" s="99"/>
      <c r="J408" s="99"/>
      <c r="K408" s="99"/>
      <c r="L408" s="98">
        <v>101865</v>
      </c>
      <c r="M408" s="98">
        <v>432959</v>
      </c>
      <c r="N408" s="98">
        <v>171932</v>
      </c>
      <c r="O408" s="99"/>
      <c r="P408" s="98">
        <v>706755</v>
      </c>
    </row>
    <row r="409" spans="1:17" ht="60.75" thickBot="1" x14ac:dyDescent="0.25">
      <c r="A409" s="101"/>
      <c r="B409" s="100" t="s">
        <v>699</v>
      </c>
      <c r="C409" s="100" t="s">
        <v>699</v>
      </c>
      <c r="D409" s="99"/>
      <c r="E409" s="99"/>
      <c r="F409" s="99"/>
      <c r="G409" s="99"/>
      <c r="H409" s="99"/>
      <c r="I409" s="99"/>
      <c r="J409" s="99"/>
      <c r="K409" s="99"/>
      <c r="L409" s="98">
        <v>100000</v>
      </c>
      <c r="M409" s="99"/>
      <c r="N409" s="99"/>
      <c r="O409" s="99"/>
      <c r="P409" s="98">
        <v>100000</v>
      </c>
    </row>
    <row r="410" spans="1:17" ht="30.75" thickBot="1" x14ac:dyDescent="0.25">
      <c r="A410" s="97" t="s">
        <v>728</v>
      </c>
      <c r="B410" s="97"/>
      <c r="C410" s="97"/>
      <c r="D410" s="96"/>
      <c r="E410" s="96"/>
      <c r="F410" s="96"/>
      <c r="G410" s="96"/>
      <c r="H410" s="96"/>
      <c r="I410" s="96"/>
      <c r="J410" s="96"/>
      <c r="K410" s="96"/>
      <c r="L410" s="95">
        <v>201865</v>
      </c>
      <c r="M410" s="95">
        <v>432959</v>
      </c>
      <c r="N410" s="95">
        <v>171932</v>
      </c>
      <c r="O410" s="96"/>
      <c r="P410" s="95">
        <v>806755</v>
      </c>
      <c r="Q410" s="91" t="s">
        <v>617</v>
      </c>
    </row>
    <row r="411" spans="1:17" ht="15.75" thickBot="1" x14ac:dyDescent="0.25">
      <c r="A411" s="101" t="s">
        <v>130</v>
      </c>
      <c r="B411" s="100" t="s">
        <v>703</v>
      </c>
      <c r="C411" s="100" t="s">
        <v>703</v>
      </c>
      <c r="D411" s="99"/>
      <c r="E411" s="99"/>
      <c r="F411" s="99"/>
      <c r="G411" s="99"/>
      <c r="H411" s="98">
        <v>210140</v>
      </c>
      <c r="I411" s="99"/>
      <c r="J411" s="99"/>
      <c r="K411" s="99"/>
      <c r="L411" s="99"/>
      <c r="M411" s="99"/>
      <c r="N411" s="99"/>
      <c r="O411" s="99"/>
      <c r="P411" s="98">
        <v>210140</v>
      </c>
    </row>
    <row r="412" spans="1:17" ht="15.75" thickBot="1" x14ac:dyDescent="0.25">
      <c r="A412" s="101"/>
      <c r="B412" s="100" t="s">
        <v>702</v>
      </c>
      <c r="C412" s="100" t="s">
        <v>702</v>
      </c>
      <c r="D412" s="99"/>
      <c r="E412" s="99"/>
      <c r="F412" s="99"/>
      <c r="G412" s="99"/>
      <c r="H412" s="98">
        <v>609000</v>
      </c>
      <c r="I412" s="99"/>
      <c r="J412" s="98">
        <v>379013</v>
      </c>
      <c r="K412" s="99"/>
      <c r="L412" s="99"/>
      <c r="M412" s="98">
        <v>229987</v>
      </c>
      <c r="N412" s="99"/>
      <c r="O412" s="99"/>
      <c r="P412" s="98">
        <v>1218000</v>
      </c>
    </row>
    <row r="413" spans="1:17" ht="30.75" thickBot="1" x14ac:dyDescent="0.25">
      <c r="A413" s="97" t="s">
        <v>727</v>
      </c>
      <c r="B413" s="97"/>
      <c r="C413" s="97"/>
      <c r="D413" s="96"/>
      <c r="E413" s="96"/>
      <c r="F413" s="96"/>
      <c r="G413" s="96"/>
      <c r="H413" s="95">
        <v>819140</v>
      </c>
      <c r="I413" s="96"/>
      <c r="J413" s="95">
        <v>379013</v>
      </c>
      <c r="K413" s="96"/>
      <c r="L413" s="96"/>
      <c r="M413" s="95">
        <v>229987</v>
      </c>
      <c r="N413" s="96"/>
      <c r="O413" s="96"/>
      <c r="P413" s="95">
        <v>1428140</v>
      </c>
      <c r="Q413" s="91" t="s">
        <v>617</v>
      </c>
    </row>
    <row r="414" spans="1:17" ht="15.75" thickBot="1" x14ac:dyDescent="0.25">
      <c r="A414" s="101" t="s">
        <v>22</v>
      </c>
      <c r="B414" s="100" t="s">
        <v>665</v>
      </c>
      <c r="C414" s="100" t="s">
        <v>665</v>
      </c>
      <c r="D414" s="99"/>
      <c r="E414" s="99"/>
      <c r="F414" s="99"/>
      <c r="G414" s="99"/>
      <c r="H414" s="99"/>
      <c r="I414" s="99"/>
      <c r="J414" s="99"/>
      <c r="K414" s="99"/>
      <c r="L414" s="98">
        <v>887500</v>
      </c>
      <c r="M414" s="98">
        <v>1012500</v>
      </c>
      <c r="N414" s="98">
        <v>458750</v>
      </c>
      <c r="O414" s="99"/>
      <c r="P414" s="98">
        <v>2358750</v>
      </c>
    </row>
    <row r="415" spans="1:17" ht="15.75" thickBot="1" x14ac:dyDescent="0.25">
      <c r="A415" s="101"/>
      <c r="B415" s="100" t="s">
        <v>703</v>
      </c>
      <c r="C415" s="100" t="s">
        <v>703</v>
      </c>
      <c r="D415" s="99"/>
      <c r="E415" s="99"/>
      <c r="F415" s="98">
        <v>157187</v>
      </c>
      <c r="G415" s="99"/>
      <c r="H415" s="99"/>
      <c r="I415" s="98">
        <v>432085</v>
      </c>
      <c r="J415" s="98">
        <v>153106</v>
      </c>
      <c r="K415" s="98">
        <v>-32629</v>
      </c>
      <c r="L415" s="99"/>
      <c r="M415" s="99"/>
      <c r="N415" s="99"/>
      <c r="O415" s="99"/>
      <c r="P415" s="98">
        <v>709749</v>
      </c>
    </row>
    <row r="416" spans="1:17" ht="30.75" thickBot="1" x14ac:dyDescent="0.25">
      <c r="A416" s="101"/>
      <c r="B416" s="100" t="s">
        <v>701</v>
      </c>
      <c r="C416" s="100" t="s">
        <v>710</v>
      </c>
      <c r="D416" s="99"/>
      <c r="E416" s="99"/>
      <c r="F416" s="98">
        <v>140130</v>
      </c>
      <c r="G416" s="98">
        <v>109818</v>
      </c>
      <c r="H416" s="98">
        <v>124593</v>
      </c>
      <c r="I416" s="98">
        <v>1491661</v>
      </c>
      <c r="J416" s="98">
        <v>218509</v>
      </c>
      <c r="K416" s="98">
        <v>414550</v>
      </c>
      <c r="L416" s="98">
        <v>-12379</v>
      </c>
      <c r="M416" s="99"/>
      <c r="N416" s="99"/>
      <c r="O416" s="99"/>
      <c r="P416" s="98">
        <v>2486882</v>
      </c>
    </row>
    <row r="417" spans="1:17" ht="15.75" thickBot="1" x14ac:dyDescent="0.25">
      <c r="A417" s="101"/>
      <c r="B417" s="100"/>
      <c r="C417" s="100" t="s">
        <v>700</v>
      </c>
      <c r="D417" s="99"/>
      <c r="E417" s="99"/>
      <c r="F417" s="99"/>
      <c r="G417" s="99"/>
      <c r="H417" s="99"/>
      <c r="I417" s="99"/>
      <c r="J417" s="99"/>
      <c r="K417" s="98">
        <v>3353731</v>
      </c>
      <c r="L417" s="98">
        <v>1841056</v>
      </c>
      <c r="M417" s="98">
        <v>2258086</v>
      </c>
      <c r="N417" s="98">
        <v>5864362</v>
      </c>
      <c r="O417" s="99"/>
      <c r="P417" s="98">
        <v>13317236</v>
      </c>
    </row>
    <row r="418" spans="1:17" ht="60.75" thickBot="1" x14ac:dyDescent="0.25">
      <c r="A418" s="101"/>
      <c r="B418" s="100" t="s">
        <v>699</v>
      </c>
      <c r="C418" s="100" t="s">
        <v>699</v>
      </c>
      <c r="D418" s="99"/>
      <c r="E418" s="99"/>
      <c r="F418" s="98">
        <v>100000</v>
      </c>
      <c r="G418" s="99"/>
      <c r="H418" s="99"/>
      <c r="I418" s="99"/>
      <c r="J418" s="99"/>
      <c r="K418" s="98">
        <v>100000</v>
      </c>
      <c r="L418" s="99"/>
      <c r="M418" s="99"/>
      <c r="N418" s="99"/>
      <c r="O418" s="99"/>
      <c r="P418" s="98">
        <v>200000</v>
      </c>
    </row>
    <row r="419" spans="1:17" ht="30.75" thickBot="1" x14ac:dyDescent="0.25">
      <c r="A419" s="97" t="s">
        <v>726</v>
      </c>
      <c r="B419" s="97"/>
      <c r="C419" s="97"/>
      <c r="D419" s="96"/>
      <c r="E419" s="96"/>
      <c r="F419" s="95">
        <v>397317</v>
      </c>
      <c r="G419" s="95">
        <v>109818</v>
      </c>
      <c r="H419" s="95">
        <v>124593</v>
      </c>
      <c r="I419" s="95">
        <v>1923747</v>
      </c>
      <c r="J419" s="95">
        <v>371615</v>
      </c>
      <c r="K419" s="95">
        <v>3835652</v>
      </c>
      <c r="L419" s="95">
        <v>2716177</v>
      </c>
      <c r="M419" s="95">
        <v>3270586</v>
      </c>
      <c r="N419" s="95">
        <v>6323112</v>
      </c>
      <c r="O419" s="96"/>
      <c r="P419" s="95">
        <v>19072617</v>
      </c>
      <c r="Q419" s="91" t="s">
        <v>706</v>
      </c>
    </row>
    <row r="420" spans="1:17" ht="30.75" thickBot="1" x14ac:dyDescent="0.25">
      <c r="A420" s="101" t="s">
        <v>725</v>
      </c>
      <c r="B420" s="100" t="s">
        <v>665</v>
      </c>
      <c r="C420" s="100" t="s">
        <v>665</v>
      </c>
      <c r="D420" s="99"/>
      <c r="E420" s="99"/>
      <c r="F420" s="99"/>
      <c r="G420" s="99"/>
      <c r="H420" s="99"/>
      <c r="I420" s="99"/>
      <c r="J420" s="99"/>
      <c r="K420" s="99"/>
      <c r="L420" s="98">
        <v>3064000</v>
      </c>
      <c r="M420" s="99"/>
      <c r="N420" s="98">
        <v>6373500</v>
      </c>
      <c r="O420" s="99"/>
      <c r="P420" s="98">
        <v>9437500</v>
      </c>
    </row>
    <row r="421" spans="1:17" ht="15.75" thickBot="1" x14ac:dyDescent="0.25">
      <c r="A421" s="101"/>
      <c r="B421" s="100" t="s">
        <v>703</v>
      </c>
      <c r="C421" s="100" t="s">
        <v>703</v>
      </c>
      <c r="D421" s="99"/>
      <c r="E421" s="99"/>
      <c r="F421" s="98">
        <v>993290</v>
      </c>
      <c r="G421" s="98">
        <v>495933</v>
      </c>
      <c r="H421" s="98">
        <v>61600</v>
      </c>
      <c r="I421" s="98">
        <v>-229566</v>
      </c>
      <c r="J421" s="99"/>
      <c r="K421" s="99"/>
      <c r="L421" s="99"/>
      <c r="M421" s="99"/>
      <c r="N421" s="99"/>
      <c r="O421" s="99"/>
      <c r="P421" s="98">
        <v>1321257</v>
      </c>
    </row>
    <row r="422" spans="1:17" ht="15.75" thickBot="1" x14ac:dyDescent="0.25">
      <c r="A422" s="101"/>
      <c r="B422" s="100" t="s">
        <v>702</v>
      </c>
      <c r="C422" s="100" t="s">
        <v>702</v>
      </c>
      <c r="D422" s="99"/>
      <c r="E422" s="99"/>
      <c r="F422" s="98">
        <v>676400</v>
      </c>
      <c r="G422" s="98">
        <v>676400</v>
      </c>
      <c r="H422" s="98">
        <v>838584</v>
      </c>
      <c r="I422" s="98">
        <v>1792416</v>
      </c>
      <c r="J422" s="98">
        <v>696960</v>
      </c>
      <c r="K422" s="98">
        <v>95040</v>
      </c>
      <c r="L422" s="98">
        <v>236000</v>
      </c>
      <c r="M422" s="99"/>
      <c r="N422" s="98">
        <v>3934000</v>
      </c>
      <c r="O422" s="99"/>
      <c r="P422" s="98">
        <v>8945800</v>
      </c>
    </row>
    <row r="423" spans="1:17" ht="30.75" thickBot="1" x14ac:dyDescent="0.25">
      <c r="A423" s="101"/>
      <c r="B423" s="100" t="s">
        <v>701</v>
      </c>
      <c r="C423" s="100" t="s">
        <v>710</v>
      </c>
      <c r="D423" s="99"/>
      <c r="E423" s="99"/>
      <c r="F423" s="99"/>
      <c r="G423" s="99"/>
      <c r="H423" s="98">
        <v>934126</v>
      </c>
      <c r="I423" s="98">
        <v>931393</v>
      </c>
      <c r="J423" s="98">
        <v>144824</v>
      </c>
      <c r="K423" s="98">
        <v>1085885</v>
      </c>
      <c r="L423" s="98">
        <v>-69095</v>
      </c>
      <c r="M423" s="99"/>
      <c r="N423" s="99"/>
      <c r="O423" s="99"/>
      <c r="P423" s="98">
        <v>3027132</v>
      </c>
    </row>
    <row r="424" spans="1:17" ht="15.75" thickBot="1" x14ac:dyDescent="0.25">
      <c r="A424" s="101"/>
      <c r="B424" s="100"/>
      <c r="C424" s="100" t="s">
        <v>700</v>
      </c>
      <c r="D424" s="99"/>
      <c r="E424" s="99"/>
      <c r="F424" s="99"/>
      <c r="G424" s="99"/>
      <c r="H424" s="99"/>
      <c r="I424" s="99"/>
      <c r="J424" s="99"/>
      <c r="K424" s="98">
        <v>6438585</v>
      </c>
      <c r="L424" s="98">
        <v>12722843</v>
      </c>
      <c r="M424" s="98">
        <v>12129028</v>
      </c>
      <c r="N424" s="98">
        <v>12281021</v>
      </c>
      <c r="O424" s="99"/>
      <c r="P424" s="98">
        <v>43571477</v>
      </c>
    </row>
    <row r="425" spans="1:17" ht="60.75" thickBot="1" x14ac:dyDescent="0.25">
      <c r="A425" s="101"/>
      <c r="B425" s="100" t="s">
        <v>699</v>
      </c>
      <c r="C425" s="100" t="s">
        <v>699</v>
      </c>
      <c r="D425" s="99"/>
      <c r="E425" s="99"/>
      <c r="F425" s="99"/>
      <c r="G425" s="99"/>
      <c r="H425" s="99">
        <v>0</v>
      </c>
      <c r="I425" s="98">
        <v>100000</v>
      </c>
      <c r="J425" s="99"/>
      <c r="K425" s="98">
        <v>100000</v>
      </c>
      <c r="L425" s="99">
        <v>0</v>
      </c>
      <c r="M425" s="99"/>
      <c r="N425" s="99"/>
      <c r="O425" s="99"/>
      <c r="P425" s="98">
        <v>200000</v>
      </c>
    </row>
    <row r="426" spans="1:17" ht="45.75" thickBot="1" x14ac:dyDescent="0.25">
      <c r="A426" s="97" t="s">
        <v>724</v>
      </c>
      <c r="B426" s="97"/>
      <c r="C426" s="97"/>
      <c r="D426" s="96"/>
      <c r="E426" s="96"/>
      <c r="F426" s="95">
        <v>1669690</v>
      </c>
      <c r="G426" s="95">
        <v>1172333</v>
      </c>
      <c r="H426" s="95">
        <v>1834310</v>
      </c>
      <c r="I426" s="95">
        <v>2594243</v>
      </c>
      <c r="J426" s="95">
        <v>841784</v>
      </c>
      <c r="K426" s="95">
        <v>7719510</v>
      </c>
      <c r="L426" s="95">
        <v>15953748</v>
      </c>
      <c r="M426" s="95">
        <v>12129028</v>
      </c>
      <c r="N426" s="95">
        <v>22588521</v>
      </c>
      <c r="O426" s="96"/>
      <c r="P426" s="95">
        <v>66503166</v>
      </c>
      <c r="Q426" s="91" t="s">
        <v>706</v>
      </c>
    </row>
    <row r="427" spans="1:17" ht="30.75" thickBot="1" x14ac:dyDescent="0.25">
      <c r="A427" s="101" t="s">
        <v>723</v>
      </c>
      <c r="B427" s="100" t="s">
        <v>665</v>
      </c>
      <c r="C427" s="100" t="s">
        <v>665</v>
      </c>
      <c r="D427" s="99"/>
      <c r="E427" s="99"/>
      <c r="F427" s="99"/>
      <c r="G427" s="99"/>
      <c r="H427" s="99"/>
      <c r="I427" s="99"/>
      <c r="J427" s="99"/>
      <c r="K427" s="99"/>
      <c r="L427" s="99"/>
      <c r="M427" s="98">
        <v>1725910</v>
      </c>
      <c r="N427" s="98">
        <v>895000</v>
      </c>
      <c r="O427" s="99"/>
      <c r="P427" s="98">
        <v>2620910</v>
      </c>
    </row>
    <row r="428" spans="1:17" ht="15.75" thickBot="1" x14ac:dyDescent="0.25">
      <c r="A428" s="101"/>
      <c r="B428" s="100" t="s">
        <v>703</v>
      </c>
      <c r="C428" s="100" t="s">
        <v>703</v>
      </c>
      <c r="D428" s="99"/>
      <c r="E428" s="99"/>
      <c r="F428" s="98">
        <v>126772</v>
      </c>
      <c r="G428" s="98">
        <v>67627</v>
      </c>
      <c r="H428" s="98">
        <v>8400</v>
      </c>
      <c r="I428" s="98">
        <v>-31304</v>
      </c>
      <c r="J428" s="99"/>
      <c r="K428" s="99"/>
      <c r="L428" s="99"/>
      <c r="M428" s="99"/>
      <c r="N428" s="99"/>
      <c r="O428" s="99"/>
      <c r="P428" s="98">
        <v>171495</v>
      </c>
    </row>
    <row r="429" spans="1:17" ht="15.75" thickBot="1" x14ac:dyDescent="0.25">
      <c r="A429" s="101"/>
      <c r="B429" s="100" t="s">
        <v>702</v>
      </c>
      <c r="C429" s="100" t="s">
        <v>702</v>
      </c>
      <c r="D429" s="99"/>
      <c r="E429" s="99"/>
      <c r="F429" s="99"/>
      <c r="G429" s="98">
        <v>92200</v>
      </c>
      <c r="H429" s="98">
        <v>118626</v>
      </c>
      <c r="I429" s="98">
        <v>71130</v>
      </c>
      <c r="J429" s="99"/>
      <c r="K429" s="98">
        <v>1193449</v>
      </c>
      <c r="L429" s="98">
        <v>1019125</v>
      </c>
      <c r="M429" s="99"/>
      <c r="N429" s="98">
        <v>2038250</v>
      </c>
      <c r="O429" s="99"/>
      <c r="P429" s="98">
        <v>4532780</v>
      </c>
    </row>
    <row r="430" spans="1:17" ht="45.75" thickBot="1" x14ac:dyDescent="0.25">
      <c r="A430" s="97" t="s">
        <v>722</v>
      </c>
      <c r="B430" s="97"/>
      <c r="C430" s="97"/>
      <c r="D430" s="96"/>
      <c r="E430" s="96"/>
      <c r="F430" s="95">
        <v>126772</v>
      </c>
      <c r="G430" s="95">
        <v>159827</v>
      </c>
      <c r="H430" s="95">
        <v>127026</v>
      </c>
      <c r="I430" s="95">
        <v>39825</v>
      </c>
      <c r="J430" s="96"/>
      <c r="K430" s="95">
        <v>1193449</v>
      </c>
      <c r="L430" s="95">
        <v>1019125</v>
      </c>
      <c r="M430" s="95">
        <v>1725910</v>
      </c>
      <c r="N430" s="95">
        <v>2933250</v>
      </c>
      <c r="O430" s="96"/>
      <c r="P430" s="95">
        <v>7325184</v>
      </c>
      <c r="Q430" s="91" t="s">
        <v>706</v>
      </c>
    </row>
    <row r="431" spans="1:17" ht="30.75" thickBot="1" x14ac:dyDescent="0.25">
      <c r="A431" s="101" t="s">
        <v>72</v>
      </c>
      <c r="B431" s="100" t="s">
        <v>665</v>
      </c>
      <c r="C431" s="100" t="s">
        <v>665</v>
      </c>
      <c r="D431" s="99"/>
      <c r="E431" s="99"/>
      <c r="F431" s="99"/>
      <c r="G431" s="99"/>
      <c r="H431" s="99"/>
      <c r="I431" s="99"/>
      <c r="J431" s="99"/>
      <c r="K431" s="99"/>
      <c r="L431" s="99"/>
      <c r="M431" s="99"/>
      <c r="N431" s="98">
        <v>282000</v>
      </c>
      <c r="O431" s="99"/>
      <c r="P431" s="98">
        <v>282000</v>
      </c>
    </row>
    <row r="432" spans="1:17" ht="15.75" thickBot="1" x14ac:dyDescent="0.25">
      <c r="A432" s="101"/>
      <c r="B432" s="100" t="s">
        <v>703</v>
      </c>
      <c r="C432" s="100" t="s">
        <v>703</v>
      </c>
      <c r="D432" s="99"/>
      <c r="E432" s="99"/>
      <c r="F432" s="99"/>
      <c r="G432" s="99"/>
      <c r="H432" s="98">
        <v>119614</v>
      </c>
      <c r="I432" s="98">
        <v>193873</v>
      </c>
      <c r="J432" s="99">
        <v>66</v>
      </c>
      <c r="K432" s="98">
        <v>35193</v>
      </c>
      <c r="L432" s="99"/>
      <c r="M432" s="99"/>
      <c r="N432" s="99"/>
      <c r="O432" s="99"/>
      <c r="P432" s="98">
        <v>348745</v>
      </c>
    </row>
    <row r="433" spans="1:17" ht="15.75" thickBot="1" x14ac:dyDescent="0.25">
      <c r="A433" s="101"/>
      <c r="B433" s="100" t="s">
        <v>702</v>
      </c>
      <c r="C433" s="100" t="s">
        <v>702</v>
      </c>
      <c r="D433" s="99"/>
      <c r="E433" s="98">
        <v>125000</v>
      </c>
      <c r="F433" s="98">
        <v>125000</v>
      </c>
      <c r="G433" s="98">
        <v>250000</v>
      </c>
      <c r="H433" s="98">
        <v>271000</v>
      </c>
      <c r="I433" s="98">
        <v>271000</v>
      </c>
      <c r="J433" s="99"/>
      <c r="K433" s="99"/>
      <c r="L433" s="98">
        <v>34500</v>
      </c>
      <c r="M433" s="99"/>
      <c r="N433" s="98">
        <v>158000</v>
      </c>
      <c r="O433" s="99"/>
      <c r="P433" s="98">
        <v>1234500</v>
      </c>
    </row>
    <row r="434" spans="1:17" ht="30.75" thickBot="1" x14ac:dyDescent="0.25">
      <c r="A434" s="101"/>
      <c r="B434" s="100" t="s">
        <v>701</v>
      </c>
      <c r="C434" s="100" t="s">
        <v>710</v>
      </c>
      <c r="D434" s="99"/>
      <c r="E434" s="98">
        <v>268935</v>
      </c>
      <c r="F434" s="99"/>
      <c r="G434" s="99"/>
      <c r="H434" s="98">
        <v>21994</v>
      </c>
      <c r="I434" s="98">
        <v>869403</v>
      </c>
      <c r="J434" s="98">
        <v>186857</v>
      </c>
      <c r="K434" s="98">
        <v>4322</v>
      </c>
      <c r="L434" s="98">
        <v>75636</v>
      </c>
      <c r="M434" s="98">
        <v>31311</v>
      </c>
      <c r="N434" s="99"/>
      <c r="O434" s="99"/>
      <c r="P434" s="98">
        <v>1458457</v>
      </c>
    </row>
    <row r="435" spans="1:17" ht="15.75" thickBot="1" x14ac:dyDescent="0.25">
      <c r="A435" s="101"/>
      <c r="B435" s="100"/>
      <c r="C435" s="100" t="s">
        <v>700</v>
      </c>
      <c r="D435" s="99"/>
      <c r="E435" s="99"/>
      <c r="F435" s="99"/>
      <c r="G435" s="99"/>
      <c r="H435" s="99"/>
      <c r="I435" s="99"/>
      <c r="J435" s="99"/>
      <c r="K435" s="99"/>
      <c r="L435" s="98">
        <v>3110416</v>
      </c>
      <c r="M435" s="98">
        <v>1822064</v>
      </c>
      <c r="N435" s="98">
        <v>2148209</v>
      </c>
      <c r="O435" s="99"/>
      <c r="P435" s="98">
        <v>7080689</v>
      </c>
    </row>
    <row r="436" spans="1:17" ht="60.75" thickBot="1" x14ac:dyDescent="0.25">
      <c r="A436" s="101"/>
      <c r="B436" s="100" t="s">
        <v>699</v>
      </c>
      <c r="C436" s="100" t="s">
        <v>699</v>
      </c>
      <c r="D436" s="99"/>
      <c r="E436" s="99"/>
      <c r="F436" s="98">
        <v>100000</v>
      </c>
      <c r="G436" s="99"/>
      <c r="H436" s="99"/>
      <c r="I436" s="99"/>
      <c r="J436" s="99"/>
      <c r="K436" s="99"/>
      <c r="L436" s="98">
        <v>100000</v>
      </c>
      <c r="M436" s="99"/>
      <c r="N436" s="99"/>
      <c r="O436" s="99"/>
      <c r="P436" s="98">
        <v>200000</v>
      </c>
    </row>
    <row r="437" spans="1:17" ht="30.75" thickBot="1" x14ac:dyDescent="0.25">
      <c r="A437" s="97" t="s">
        <v>721</v>
      </c>
      <c r="B437" s="97"/>
      <c r="C437" s="97"/>
      <c r="D437" s="96"/>
      <c r="E437" s="95">
        <v>393935</v>
      </c>
      <c r="F437" s="95">
        <v>225000</v>
      </c>
      <c r="G437" s="95">
        <v>250000</v>
      </c>
      <c r="H437" s="95">
        <v>412607</v>
      </c>
      <c r="I437" s="95">
        <v>1334276</v>
      </c>
      <c r="J437" s="95">
        <v>186922</v>
      </c>
      <c r="K437" s="95">
        <v>39514</v>
      </c>
      <c r="L437" s="95">
        <v>3320552</v>
      </c>
      <c r="M437" s="95">
        <v>1853375</v>
      </c>
      <c r="N437" s="95">
        <v>2588209</v>
      </c>
      <c r="O437" s="96"/>
      <c r="P437" s="95">
        <v>10604391</v>
      </c>
      <c r="Q437" s="91" t="s">
        <v>617</v>
      </c>
    </row>
    <row r="438" spans="1:17" ht="15.75" thickBot="1" x14ac:dyDescent="0.25">
      <c r="A438" s="101" t="s">
        <v>71</v>
      </c>
      <c r="B438" s="100" t="s">
        <v>703</v>
      </c>
      <c r="C438" s="100" t="s">
        <v>703</v>
      </c>
      <c r="D438" s="99"/>
      <c r="E438" s="99"/>
      <c r="F438" s="99"/>
      <c r="G438" s="98">
        <v>30319</v>
      </c>
      <c r="H438" s="98">
        <v>490913</v>
      </c>
      <c r="I438" s="98">
        <v>495219</v>
      </c>
      <c r="J438" s="99"/>
      <c r="K438" s="99"/>
      <c r="L438" s="99"/>
      <c r="M438" s="99"/>
      <c r="N438" s="99"/>
      <c r="O438" s="99"/>
      <c r="P438" s="98">
        <v>1016452</v>
      </c>
    </row>
    <row r="439" spans="1:17" ht="15.75" thickBot="1" x14ac:dyDescent="0.25">
      <c r="A439" s="101"/>
      <c r="B439" s="100" t="s">
        <v>702</v>
      </c>
      <c r="C439" s="100" t="s">
        <v>702</v>
      </c>
      <c r="D439" s="98">
        <v>607000</v>
      </c>
      <c r="E439" s="99"/>
      <c r="F439" s="98">
        <v>603000</v>
      </c>
      <c r="G439" s="99"/>
      <c r="H439" s="98">
        <v>1214000</v>
      </c>
      <c r="I439" s="98">
        <v>1819500</v>
      </c>
      <c r="J439" s="98">
        <v>1236500</v>
      </c>
      <c r="K439" s="98">
        <v>1184380</v>
      </c>
      <c r="L439" s="98">
        <v>1322500</v>
      </c>
      <c r="M439" s="99"/>
      <c r="N439" s="99"/>
      <c r="O439" s="99"/>
      <c r="P439" s="98">
        <v>7986880</v>
      </c>
    </row>
    <row r="440" spans="1:17" ht="15.75" thickBot="1" x14ac:dyDescent="0.25">
      <c r="A440" s="101"/>
      <c r="B440" s="100" t="s">
        <v>701</v>
      </c>
      <c r="C440" s="100" t="s">
        <v>700</v>
      </c>
      <c r="D440" s="99"/>
      <c r="E440" s="99"/>
      <c r="F440" s="99"/>
      <c r="G440" s="99"/>
      <c r="H440" s="99"/>
      <c r="I440" s="99"/>
      <c r="J440" s="99"/>
      <c r="K440" s="99"/>
      <c r="L440" s="98">
        <v>9448626</v>
      </c>
      <c r="M440" s="98">
        <v>5846296</v>
      </c>
      <c r="N440" s="98">
        <v>27182249</v>
      </c>
      <c r="O440" s="99"/>
      <c r="P440" s="98">
        <v>42477171</v>
      </c>
    </row>
    <row r="441" spans="1:17" ht="45.75" thickBot="1" x14ac:dyDescent="0.25">
      <c r="A441" s="101"/>
      <c r="B441" s="100"/>
      <c r="C441" s="100" t="s">
        <v>720</v>
      </c>
      <c r="D441" s="99"/>
      <c r="E441" s="98">
        <v>7273345</v>
      </c>
      <c r="F441" s="98">
        <v>4184616</v>
      </c>
      <c r="G441" s="98">
        <v>5231265</v>
      </c>
      <c r="H441" s="98">
        <v>3442905</v>
      </c>
      <c r="I441" s="98">
        <v>2759140</v>
      </c>
      <c r="J441" s="98">
        <v>316739</v>
      </c>
      <c r="K441" s="98">
        <v>1516120</v>
      </c>
      <c r="L441" s="98">
        <v>50421</v>
      </c>
      <c r="M441" s="99"/>
      <c r="N441" s="99"/>
      <c r="O441" s="99"/>
      <c r="P441" s="98">
        <v>24774552</v>
      </c>
    </row>
    <row r="442" spans="1:17" ht="60.75" thickBot="1" x14ac:dyDescent="0.25">
      <c r="A442" s="101"/>
      <c r="B442" s="100" t="s">
        <v>699</v>
      </c>
      <c r="C442" s="100" t="s">
        <v>699</v>
      </c>
      <c r="D442" s="99"/>
      <c r="E442" s="99"/>
      <c r="F442" s="98">
        <v>100000</v>
      </c>
      <c r="G442" s="99"/>
      <c r="H442" s="99"/>
      <c r="I442" s="99"/>
      <c r="J442" s="99"/>
      <c r="K442" s="99"/>
      <c r="L442" s="98">
        <v>547000</v>
      </c>
      <c r="M442" s="99"/>
      <c r="N442" s="99"/>
      <c r="O442" s="99"/>
      <c r="P442" s="98">
        <v>647000</v>
      </c>
    </row>
    <row r="443" spans="1:17" ht="30.75" thickBot="1" x14ac:dyDescent="0.25">
      <c r="A443" s="97" t="s">
        <v>719</v>
      </c>
      <c r="B443" s="97"/>
      <c r="C443" s="97"/>
      <c r="D443" s="95">
        <v>607000</v>
      </c>
      <c r="E443" s="95">
        <v>7273345</v>
      </c>
      <c r="F443" s="95">
        <v>4887616</v>
      </c>
      <c r="G443" s="95">
        <v>5261584</v>
      </c>
      <c r="H443" s="95">
        <v>5147819</v>
      </c>
      <c r="I443" s="95">
        <v>5073859</v>
      </c>
      <c r="J443" s="95">
        <v>1553239</v>
      </c>
      <c r="K443" s="95">
        <v>2700500</v>
      </c>
      <c r="L443" s="95">
        <v>11368547</v>
      </c>
      <c r="M443" s="95">
        <v>5846296</v>
      </c>
      <c r="N443" s="95">
        <v>27182249</v>
      </c>
      <c r="O443" s="96"/>
      <c r="P443" s="95">
        <v>76902055</v>
      </c>
      <c r="Q443" s="91" t="s">
        <v>617</v>
      </c>
    </row>
    <row r="444" spans="1:17" ht="30.75" thickBot="1" x14ac:dyDescent="0.25">
      <c r="A444" s="101" t="s">
        <v>70</v>
      </c>
      <c r="B444" s="100" t="s">
        <v>718</v>
      </c>
      <c r="C444" s="100" t="s">
        <v>717</v>
      </c>
      <c r="D444" s="99"/>
      <c r="E444" s="99"/>
      <c r="F444" s="99"/>
      <c r="G444" s="99"/>
      <c r="H444" s="99"/>
      <c r="I444" s="99"/>
      <c r="J444" s="99"/>
      <c r="K444" s="99"/>
      <c r="L444" s="99"/>
      <c r="M444" s="98">
        <v>23270</v>
      </c>
      <c r="N444" s="99"/>
      <c r="O444" s="99"/>
      <c r="P444" s="98">
        <v>23270</v>
      </c>
    </row>
    <row r="445" spans="1:17" ht="15.75" thickBot="1" x14ac:dyDescent="0.25">
      <c r="A445" s="101"/>
      <c r="B445" s="100" t="s">
        <v>703</v>
      </c>
      <c r="C445" s="100" t="s">
        <v>703</v>
      </c>
      <c r="D445" s="99"/>
      <c r="E445" s="99"/>
      <c r="F445" s="99"/>
      <c r="G445" s="98">
        <v>331817</v>
      </c>
      <c r="H445" s="98">
        <v>2916</v>
      </c>
      <c r="I445" s="98">
        <v>-13626</v>
      </c>
      <c r="J445" s="99"/>
      <c r="K445" s="98">
        <v>-3490</v>
      </c>
      <c r="L445" s="99"/>
      <c r="M445" s="99"/>
      <c r="N445" s="99"/>
      <c r="O445" s="99"/>
      <c r="P445" s="98">
        <v>317617</v>
      </c>
    </row>
    <row r="446" spans="1:17" ht="15.75" thickBot="1" x14ac:dyDescent="0.25">
      <c r="A446" s="101"/>
      <c r="B446" s="100" t="s">
        <v>702</v>
      </c>
      <c r="C446" s="100" t="s">
        <v>702</v>
      </c>
      <c r="D446" s="99"/>
      <c r="E446" s="99"/>
      <c r="F446" s="99"/>
      <c r="G446" s="98">
        <v>350600</v>
      </c>
      <c r="H446" s="98">
        <v>350600</v>
      </c>
      <c r="I446" s="98">
        <v>701200</v>
      </c>
      <c r="J446" s="98">
        <v>345500</v>
      </c>
      <c r="K446" s="98">
        <v>405500</v>
      </c>
      <c r="L446" s="99"/>
      <c r="M446" s="98">
        <v>152500</v>
      </c>
      <c r="N446" s="98">
        <v>267500</v>
      </c>
      <c r="O446" s="99"/>
      <c r="P446" s="98">
        <v>2573400</v>
      </c>
    </row>
    <row r="447" spans="1:17" ht="15.75" thickBot="1" x14ac:dyDescent="0.25">
      <c r="A447" s="101"/>
      <c r="B447" s="100" t="s">
        <v>701</v>
      </c>
      <c r="C447" s="100" t="s">
        <v>700</v>
      </c>
      <c r="D447" s="99"/>
      <c r="E447" s="99"/>
      <c r="F447" s="99"/>
      <c r="G447" s="99"/>
      <c r="H447" s="99"/>
      <c r="I447" s="99"/>
      <c r="J447" s="99"/>
      <c r="K447" s="99"/>
      <c r="L447" s="98">
        <v>3079819</v>
      </c>
      <c r="M447" s="98">
        <v>2745085</v>
      </c>
      <c r="N447" s="98">
        <v>2382207</v>
      </c>
      <c r="O447" s="99"/>
      <c r="P447" s="98">
        <v>8207111</v>
      </c>
    </row>
    <row r="448" spans="1:17" ht="30.75" thickBot="1" x14ac:dyDescent="0.25">
      <c r="A448" s="101"/>
      <c r="B448" s="100"/>
      <c r="C448" s="100" t="s">
        <v>716</v>
      </c>
      <c r="D448" s="99"/>
      <c r="E448" s="99"/>
      <c r="F448" s="99"/>
      <c r="G448" s="98">
        <v>223147</v>
      </c>
      <c r="H448" s="98">
        <v>107668</v>
      </c>
      <c r="I448" s="98">
        <v>182190</v>
      </c>
      <c r="J448" s="98">
        <v>4140</v>
      </c>
      <c r="K448" s="98">
        <v>31968</v>
      </c>
      <c r="L448" s="98">
        <v>258912</v>
      </c>
      <c r="M448" s="98">
        <v>207655</v>
      </c>
      <c r="N448" s="98">
        <v>358338</v>
      </c>
      <c r="O448" s="99"/>
      <c r="P448" s="98">
        <v>1374019</v>
      </c>
    </row>
    <row r="449" spans="1:17" ht="60.75" thickBot="1" x14ac:dyDescent="0.25">
      <c r="A449" s="101"/>
      <c r="B449" s="100" t="s">
        <v>699</v>
      </c>
      <c r="C449" s="100" t="s">
        <v>699</v>
      </c>
      <c r="D449" s="99"/>
      <c r="E449" s="99"/>
      <c r="F449" s="99"/>
      <c r="G449" s="99"/>
      <c r="H449" s="98">
        <v>100000</v>
      </c>
      <c r="I449" s="99"/>
      <c r="J449" s="99"/>
      <c r="K449" s="99"/>
      <c r="L449" s="98">
        <v>100000</v>
      </c>
      <c r="M449" s="99"/>
      <c r="N449" s="99"/>
      <c r="O449" s="99"/>
      <c r="P449" s="98">
        <v>200000</v>
      </c>
    </row>
    <row r="450" spans="1:17" ht="30.75" thickBot="1" x14ac:dyDescent="0.25">
      <c r="A450" s="97" t="s">
        <v>715</v>
      </c>
      <c r="B450" s="97"/>
      <c r="C450" s="97"/>
      <c r="D450" s="96"/>
      <c r="E450" s="96"/>
      <c r="F450" s="96"/>
      <c r="G450" s="95">
        <v>905564</v>
      </c>
      <c r="H450" s="95">
        <v>561184</v>
      </c>
      <c r="I450" s="95">
        <v>869764</v>
      </c>
      <c r="J450" s="95">
        <v>349640</v>
      </c>
      <c r="K450" s="95">
        <v>433978</v>
      </c>
      <c r="L450" s="95">
        <v>3438731</v>
      </c>
      <c r="M450" s="95">
        <v>3128511</v>
      </c>
      <c r="N450" s="95">
        <v>3008044</v>
      </c>
      <c r="O450" s="96"/>
      <c r="P450" s="95">
        <v>12695417</v>
      </c>
      <c r="Q450" s="91" t="s">
        <v>617</v>
      </c>
    </row>
    <row r="451" spans="1:17" ht="30.75" thickBot="1" x14ac:dyDescent="0.25">
      <c r="A451" s="101" t="s">
        <v>121</v>
      </c>
      <c r="B451" s="100" t="s">
        <v>703</v>
      </c>
      <c r="C451" s="100" t="s">
        <v>703</v>
      </c>
      <c r="D451" s="99"/>
      <c r="E451" s="99"/>
      <c r="F451" s="99"/>
      <c r="G451" s="99"/>
      <c r="H451" s="98">
        <v>57252</v>
      </c>
      <c r="I451" s="98">
        <v>93389</v>
      </c>
      <c r="J451" s="99"/>
      <c r="K451" s="98">
        <v>4401</v>
      </c>
      <c r="L451" s="99"/>
      <c r="M451" s="99"/>
      <c r="N451" s="99"/>
      <c r="O451" s="99"/>
      <c r="P451" s="98">
        <v>155043</v>
      </c>
    </row>
    <row r="452" spans="1:17" ht="30.75" thickBot="1" x14ac:dyDescent="0.25">
      <c r="A452" s="101"/>
      <c r="B452" s="100" t="s">
        <v>701</v>
      </c>
      <c r="C452" s="100" t="s">
        <v>710</v>
      </c>
      <c r="D452" s="99"/>
      <c r="E452" s="98">
        <v>294171</v>
      </c>
      <c r="F452" s="98">
        <v>118854</v>
      </c>
      <c r="G452" s="98">
        <v>74276</v>
      </c>
      <c r="H452" s="98">
        <v>70134</v>
      </c>
      <c r="I452" s="98">
        <v>333945</v>
      </c>
      <c r="J452" s="98">
        <v>88573</v>
      </c>
      <c r="K452" s="98">
        <v>-1336</v>
      </c>
      <c r="L452" s="99"/>
      <c r="M452" s="99"/>
      <c r="N452" s="99"/>
      <c r="O452" s="99"/>
      <c r="P452" s="98">
        <v>978617</v>
      </c>
    </row>
    <row r="453" spans="1:17" ht="60.75" thickBot="1" x14ac:dyDescent="0.25">
      <c r="A453" s="101"/>
      <c r="B453" s="100" t="s">
        <v>699</v>
      </c>
      <c r="C453" s="100" t="s">
        <v>699</v>
      </c>
      <c r="D453" s="99"/>
      <c r="E453" s="98">
        <v>100000</v>
      </c>
      <c r="F453" s="99"/>
      <c r="G453" s="99"/>
      <c r="H453" s="99"/>
      <c r="I453" s="99"/>
      <c r="J453" s="99"/>
      <c r="K453" s="99"/>
      <c r="L453" s="99"/>
      <c r="M453" s="99"/>
      <c r="N453" s="99"/>
      <c r="O453" s="99"/>
      <c r="P453" s="98">
        <v>100000</v>
      </c>
    </row>
    <row r="454" spans="1:17" ht="45.75" thickBot="1" x14ac:dyDescent="0.25">
      <c r="A454" s="97" t="s">
        <v>714</v>
      </c>
      <c r="B454" s="97"/>
      <c r="C454" s="97"/>
      <c r="D454" s="96"/>
      <c r="E454" s="95">
        <v>394171</v>
      </c>
      <c r="F454" s="95">
        <v>118854</v>
      </c>
      <c r="G454" s="95">
        <v>74276</v>
      </c>
      <c r="H454" s="95">
        <v>127386</v>
      </c>
      <c r="I454" s="95">
        <v>427334</v>
      </c>
      <c r="J454" s="95">
        <v>88573</v>
      </c>
      <c r="K454" s="95">
        <v>3065</v>
      </c>
      <c r="L454" s="96"/>
      <c r="M454" s="96"/>
      <c r="N454" s="96"/>
      <c r="O454" s="96"/>
      <c r="P454" s="95">
        <v>1233659</v>
      </c>
      <c r="Q454" s="91" t="s">
        <v>706</v>
      </c>
    </row>
    <row r="455" spans="1:17" ht="15.75" thickBot="1" x14ac:dyDescent="0.25">
      <c r="A455" s="101" t="s">
        <v>69</v>
      </c>
      <c r="B455" s="100" t="s">
        <v>703</v>
      </c>
      <c r="C455" s="100" t="s">
        <v>703</v>
      </c>
      <c r="D455" s="99"/>
      <c r="E455" s="99"/>
      <c r="F455" s="98">
        <v>913214</v>
      </c>
      <c r="G455" s="98">
        <v>417228</v>
      </c>
      <c r="H455" s="99"/>
      <c r="I455" s="98">
        <v>-123143</v>
      </c>
      <c r="J455" s="99"/>
      <c r="K455" s="99"/>
      <c r="L455" s="99"/>
      <c r="M455" s="99"/>
      <c r="N455" s="99"/>
      <c r="O455" s="99"/>
      <c r="P455" s="98">
        <v>1207299</v>
      </c>
    </row>
    <row r="456" spans="1:17" ht="15.75" thickBot="1" x14ac:dyDescent="0.25">
      <c r="A456" s="101"/>
      <c r="B456" s="100" t="s">
        <v>702</v>
      </c>
      <c r="C456" s="100" t="s">
        <v>702</v>
      </c>
      <c r="D456" s="99"/>
      <c r="E456" s="98">
        <v>455000</v>
      </c>
      <c r="F456" s="98">
        <v>455000</v>
      </c>
      <c r="G456" s="98">
        <v>910000</v>
      </c>
      <c r="H456" s="98">
        <v>2680500</v>
      </c>
      <c r="I456" s="98">
        <v>1680500</v>
      </c>
      <c r="J456" s="98">
        <v>400000</v>
      </c>
      <c r="K456" s="99"/>
      <c r="L456" s="99"/>
      <c r="M456" s="99"/>
      <c r="N456" s="99"/>
      <c r="O456" s="99"/>
      <c r="P456" s="98">
        <v>6581000</v>
      </c>
    </row>
    <row r="457" spans="1:17" ht="15.75" thickBot="1" x14ac:dyDescent="0.25">
      <c r="A457" s="101"/>
      <c r="B457" s="100" t="s">
        <v>701</v>
      </c>
      <c r="C457" s="100" t="s">
        <v>700</v>
      </c>
      <c r="D457" s="99"/>
      <c r="E457" s="98">
        <v>15524097</v>
      </c>
      <c r="F457" s="98">
        <v>6659409</v>
      </c>
      <c r="G457" s="98">
        <v>14784015</v>
      </c>
      <c r="H457" s="98">
        <v>9448222</v>
      </c>
      <c r="I457" s="98">
        <v>9370416</v>
      </c>
      <c r="J457" s="98">
        <v>10575799</v>
      </c>
      <c r="K457" s="98">
        <v>13275220</v>
      </c>
      <c r="L457" s="98">
        <v>17323420</v>
      </c>
      <c r="M457" s="98">
        <v>8284007</v>
      </c>
      <c r="N457" s="98">
        <v>7962874</v>
      </c>
      <c r="O457" s="98">
        <v>274662</v>
      </c>
      <c r="P457" s="98">
        <v>113482142</v>
      </c>
    </row>
    <row r="458" spans="1:17" ht="60.75" thickBot="1" x14ac:dyDescent="0.25">
      <c r="A458" s="101"/>
      <c r="B458" s="100" t="s">
        <v>699</v>
      </c>
      <c r="C458" s="100" t="s">
        <v>699</v>
      </c>
      <c r="D458" s="99"/>
      <c r="E458" s="99"/>
      <c r="F458" s="98">
        <v>100000</v>
      </c>
      <c r="G458" s="99"/>
      <c r="H458" s="99"/>
      <c r="I458" s="99"/>
      <c r="J458" s="99"/>
      <c r="K458" s="99"/>
      <c r="L458" s="99"/>
      <c r="M458" s="99"/>
      <c r="N458" s="99"/>
      <c r="O458" s="99"/>
      <c r="P458" s="98">
        <v>100000</v>
      </c>
    </row>
    <row r="459" spans="1:17" ht="30.75" thickBot="1" x14ac:dyDescent="0.25">
      <c r="A459" s="97" t="s">
        <v>713</v>
      </c>
      <c r="B459" s="97"/>
      <c r="C459" s="97"/>
      <c r="D459" s="96"/>
      <c r="E459" s="95">
        <v>15979097</v>
      </c>
      <c r="F459" s="95">
        <v>8127623</v>
      </c>
      <c r="G459" s="95">
        <v>16111243</v>
      </c>
      <c r="H459" s="95">
        <v>12128722</v>
      </c>
      <c r="I459" s="95">
        <v>10927773</v>
      </c>
      <c r="J459" s="95">
        <v>10975799</v>
      </c>
      <c r="K459" s="95">
        <v>13275220</v>
      </c>
      <c r="L459" s="95">
        <v>17323420</v>
      </c>
      <c r="M459" s="95">
        <v>8284007</v>
      </c>
      <c r="N459" s="95">
        <v>7962874</v>
      </c>
      <c r="O459" s="95">
        <v>274662</v>
      </c>
      <c r="P459" s="95">
        <v>121370441</v>
      </c>
      <c r="Q459" s="91" t="s">
        <v>617</v>
      </c>
    </row>
    <row r="460" spans="1:17" ht="15.75" thickBot="1" x14ac:dyDescent="0.25">
      <c r="A460" s="101" t="s">
        <v>11</v>
      </c>
      <c r="B460" s="100" t="s">
        <v>703</v>
      </c>
      <c r="C460" s="100" t="s">
        <v>703</v>
      </c>
      <c r="D460" s="99"/>
      <c r="E460" s="99"/>
      <c r="F460" s="99"/>
      <c r="G460" s="98">
        <v>271029</v>
      </c>
      <c r="H460" s="98">
        <v>236551</v>
      </c>
      <c r="I460" s="98">
        <v>121529</v>
      </c>
      <c r="J460" s="98">
        <v>121353</v>
      </c>
      <c r="K460" s="98">
        <v>-11006</v>
      </c>
      <c r="L460" s="99"/>
      <c r="M460" s="99"/>
      <c r="N460" s="99"/>
      <c r="O460" s="99"/>
      <c r="P460" s="98">
        <v>739456</v>
      </c>
    </row>
    <row r="461" spans="1:17" ht="30.75" thickBot="1" x14ac:dyDescent="0.25">
      <c r="A461" s="101"/>
      <c r="B461" s="100" t="s">
        <v>701</v>
      </c>
      <c r="C461" s="100" t="s">
        <v>710</v>
      </c>
      <c r="D461" s="99"/>
      <c r="E461" s="99"/>
      <c r="F461" s="98">
        <v>1065821</v>
      </c>
      <c r="G461" s="98">
        <v>313068</v>
      </c>
      <c r="H461" s="98">
        <v>213903</v>
      </c>
      <c r="I461" s="98">
        <v>385080</v>
      </c>
      <c r="J461" s="98">
        <v>376242</v>
      </c>
      <c r="K461" s="98">
        <v>283220</v>
      </c>
      <c r="L461" s="98">
        <v>123949</v>
      </c>
      <c r="M461" s="98">
        <v>23900</v>
      </c>
      <c r="N461" s="98">
        <v>-80177</v>
      </c>
      <c r="O461" s="99"/>
      <c r="P461" s="98">
        <v>2705007</v>
      </c>
    </row>
    <row r="462" spans="1:17" ht="60.75" thickBot="1" x14ac:dyDescent="0.25">
      <c r="A462" s="101"/>
      <c r="B462" s="100" t="s">
        <v>699</v>
      </c>
      <c r="C462" s="100" t="s">
        <v>699</v>
      </c>
      <c r="D462" s="99"/>
      <c r="E462" s="99"/>
      <c r="F462" s="99"/>
      <c r="G462" s="99"/>
      <c r="H462" s="98">
        <v>100000</v>
      </c>
      <c r="I462" s="99"/>
      <c r="J462" s="99"/>
      <c r="K462" s="99"/>
      <c r="L462" s="99"/>
      <c r="M462" s="99"/>
      <c r="N462" s="99"/>
      <c r="O462" s="99"/>
      <c r="P462" s="98">
        <v>100000</v>
      </c>
    </row>
    <row r="463" spans="1:17" ht="30.75" thickBot="1" x14ac:dyDescent="0.25">
      <c r="A463" s="97" t="s">
        <v>712</v>
      </c>
      <c r="B463" s="97"/>
      <c r="C463" s="97"/>
      <c r="D463" s="96"/>
      <c r="E463" s="96"/>
      <c r="F463" s="95">
        <v>1065821</v>
      </c>
      <c r="G463" s="95">
        <v>584097</v>
      </c>
      <c r="H463" s="95">
        <v>550454</v>
      </c>
      <c r="I463" s="95">
        <v>506609</v>
      </c>
      <c r="J463" s="95">
        <v>497595</v>
      </c>
      <c r="K463" s="95">
        <v>272214</v>
      </c>
      <c r="L463" s="95">
        <v>123949</v>
      </c>
      <c r="M463" s="95">
        <v>23900</v>
      </c>
      <c r="N463" s="95">
        <v>-80177</v>
      </c>
      <c r="O463" s="96"/>
      <c r="P463" s="95">
        <v>3544463</v>
      </c>
      <c r="Q463" s="91" t="s">
        <v>706</v>
      </c>
    </row>
    <row r="464" spans="1:17" ht="30.75" thickBot="1" x14ac:dyDescent="0.25">
      <c r="A464" s="101" t="s">
        <v>9</v>
      </c>
      <c r="B464" s="100" t="s">
        <v>703</v>
      </c>
      <c r="C464" s="100" t="s">
        <v>703</v>
      </c>
      <c r="D464" s="99"/>
      <c r="E464" s="99"/>
      <c r="F464" s="98">
        <v>379321</v>
      </c>
      <c r="G464" s="98">
        <v>307513</v>
      </c>
      <c r="H464" s="98">
        <v>127762</v>
      </c>
      <c r="I464" s="98">
        <v>-127301</v>
      </c>
      <c r="J464" s="98">
        <v>39718</v>
      </c>
      <c r="K464" s="99"/>
      <c r="L464" s="99"/>
      <c r="M464" s="99"/>
      <c r="N464" s="99"/>
      <c r="O464" s="99"/>
      <c r="P464" s="98">
        <v>727012</v>
      </c>
    </row>
    <row r="465" spans="1:17" ht="30.75" thickBot="1" x14ac:dyDescent="0.25">
      <c r="A465" s="101"/>
      <c r="B465" s="100" t="s">
        <v>701</v>
      </c>
      <c r="C465" s="100" t="s">
        <v>710</v>
      </c>
      <c r="D465" s="99"/>
      <c r="E465" s="98">
        <v>1537467</v>
      </c>
      <c r="F465" s="98">
        <v>452362</v>
      </c>
      <c r="G465" s="98">
        <v>471336</v>
      </c>
      <c r="H465" s="98">
        <v>322155</v>
      </c>
      <c r="I465" s="98">
        <v>780383</v>
      </c>
      <c r="J465" s="98">
        <v>581548</v>
      </c>
      <c r="K465" s="98">
        <v>236880</v>
      </c>
      <c r="L465" s="98">
        <v>-23472</v>
      </c>
      <c r="M465" s="99"/>
      <c r="N465" s="99"/>
      <c r="O465" s="99"/>
      <c r="P465" s="98">
        <v>4358659</v>
      </c>
    </row>
    <row r="466" spans="1:17" ht="15.75" thickBot="1" x14ac:dyDescent="0.25">
      <c r="A466" s="101"/>
      <c r="B466" s="100"/>
      <c r="C466" s="100" t="s">
        <v>700</v>
      </c>
      <c r="D466" s="99"/>
      <c r="E466" s="99"/>
      <c r="F466" s="99"/>
      <c r="G466" s="99"/>
      <c r="H466" s="99"/>
      <c r="I466" s="99"/>
      <c r="J466" s="99"/>
      <c r="K466" s="99"/>
      <c r="L466" s="98">
        <v>3500359</v>
      </c>
      <c r="M466" s="98">
        <v>5873036</v>
      </c>
      <c r="N466" s="98">
        <v>7293586</v>
      </c>
      <c r="O466" s="98">
        <v>106623</v>
      </c>
      <c r="P466" s="98">
        <v>16773604</v>
      </c>
    </row>
    <row r="467" spans="1:17" ht="60.75" thickBot="1" x14ac:dyDescent="0.25">
      <c r="A467" s="101"/>
      <c r="B467" s="100" t="s">
        <v>699</v>
      </c>
      <c r="C467" s="100" t="s">
        <v>699</v>
      </c>
      <c r="D467" s="99"/>
      <c r="E467" s="99"/>
      <c r="F467" s="98">
        <v>100000</v>
      </c>
      <c r="G467" s="99"/>
      <c r="H467" s="99"/>
      <c r="I467" s="99"/>
      <c r="J467" s="99"/>
      <c r="K467" s="99"/>
      <c r="L467" s="98">
        <v>159500</v>
      </c>
      <c r="M467" s="98">
        <v>-159500</v>
      </c>
      <c r="N467" s="99"/>
      <c r="O467" s="99"/>
      <c r="P467" s="98">
        <v>100000</v>
      </c>
    </row>
    <row r="468" spans="1:17" ht="30.75" thickBot="1" x14ac:dyDescent="0.25">
      <c r="A468" s="97" t="s">
        <v>711</v>
      </c>
      <c r="B468" s="97"/>
      <c r="C468" s="97"/>
      <c r="D468" s="96"/>
      <c r="E468" s="95">
        <v>1537467</v>
      </c>
      <c r="F468" s="95">
        <v>931683</v>
      </c>
      <c r="G468" s="95">
        <v>778849</v>
      </c>
      <c r="H468" s="95">
        <v>449916</v>
      </c>
      <c r="I468" s="95">
        <v>653082</v>
      </c>
      <c r="J468" s="95">
        <v>621266</v>
      </c>
      <c r="K468" s="95">
        <v>236880</v>
      </c>
      <c r="L468" s="95">
        <v>3636387</v>
      </c>
      <c r="M468" s="95">
        <v>5713536</v>
      </c>
      <c r="N468" s="95">
        <v>7293586</v>
      </c>
      <c r="O468" s="95">
        <v>106623</v>
      </c>
      <c r="P468" s="95">
        <v>21959275</v>
      </c>
      <c r="Q468" s="91" t="s">
        <v>706</v>
      </c>
    </row>
    <row r="469" spans="1:17" ht="15.75" thickBot="1" x14ac:dyDescent="0.25">
      <c r="A469" s="101" t="s">
        <v>7</v>
      </c>
      <c r="B469" s="100" t="s">
        <v>665</v>
      </c>
      <c r="C469" s="100" t="s">
        <v>665</v>
      </c>
      <c r="D469" s="99"/>
      <c r="E469" s="99"/>
      <c r="F469" s="99"/>
      <c r="G469" s="99"/>
      <c r="H469" s="99"/>
      <c r="I469" s="99"/>
      <c r="J469" s="99"/>
      <c r="K469" s="98">
        <v>3648000</v>
      </c>
      <c r="L469" s="98">
        <v>3311500</v>
      </c>
      <c r="M469" s="98">
        <v>5139000</v>
      </c>
      <c r="N469" s="98">
        <v>4186500</v>
      </c>
      <c r="O469" s="99"/>
      <c r="P469" s="98">
        <v>16285000</v>
      </c>
    </row>
    <row r="470" spans="1:17" ht="15.75" thickBot="1" x14ac:dyDescent="0.25">
      <c r="A470" s="101"/>
      <c r="B470" s="100" t="s">
        <v>703</v>
      </c>
      <c r="C470" s="100" t="s">
        <v>703</v>
      </c>
      <c r="D470" s="99"/>
      <c r="E470" s="99"/>
      <c r="F470" s="99"/>
      <c r="G470" s="99"/>
      <c r="H470" s="98">
        <v>903200</v>
      </c>
      <c r="I470" s="98">
        <v>1022000</v>
      </c>
      <c r="J470" s="98">
        <v>1300800</v>
      </c>
      <c r="K470" s="99"/>
      <c r="L470" s="99"/>
      <c r="M470" s="99"/>
      <c r="N470" s="99"/>
      <c r="O470" s="99"/>
      <c r="P470" s="98">
        <v>3226000</v>
      </c>
    </row>
    <row r="471" spans="1:17" ht="15.75" thickBot="1" x14ac:dyDescent="0.25">
      <c r="A471" s="101"/>
      <c r="B471" s="100" t="s">
        <v>702</v>
      </c>
      <c r="C471" s="100" t="s">
        <v>702</v>
      </c>
      <c r="D471" s="99"/>
      <c r="E471" s="99"/>
      <c r="F471" s="99"/>
      <c r="G471" s="99"/>
      <c r="H471" s="99"/>
      <c r="I471" s="99"/>
      <c r="J471" s="99"/>
      <c r="K471" s="98">
        <v>510750</v>
      </c>
      <c r="L471" s="98">
        <v>510750</v>
      </c>
      <c r="M471" s="99"/>
      <c r="N471" s="99"/>
      <c r="O471" s="99"/>
      <c r="P471" s="98">
        <v>1021500</v>
      </c>
    </row>
    <row r="472" spans="1:17" ht="30.75" thickBot="1" x14ac:dyDescent="0.25">
      <c r="A472" s="101"/>
      <c r="B472" s="100" t="s">
        <v>701</v>
      </c>
      <c r="C472" s="100" t="s">
        <v>710</v>
      </c>
      <c r="D472" s="99"/>
      <c r="E472" s="98">
        <v>4968020</v>
      </c>
      <c r="F472" s="98">
        <v>1054011</v>
      </c>
      <c r="G472" s="98">
        <v>1280337</v>
      </c>
      <c r="H472" s="98">
        <v>707300</v>
      </c>
      <c r="I472" s="98">
        <v>1694876</v>
      </c>
      <c r="J472" s="98">
        <v>685884</v>
      </c>
      <c r="K472" s="98">
        <v>190722</v>
      </c>
      <c r="L472" s="98">
        <v>21316</v>
      </c>
      <c r="M472" s="99">
        <v>-247</v>
      </c>
      <c r="N472" s="99"/>
      <c r="O472" s="99"/>
      <c r="P472" s="98">
        <v>10602218</v>
      </c>
    </row>
    <row r="473" spans="1:17" ht="15.75" thickBot="1" x14ac:dyDescent="0.25">
      <c r="A473" s="101"/>
      <c r="B473" s="100"/>
      <c r="C473" s="100" t="s">
        <v>640</v>
      </c>
      <c r="D473" s="99"/>
      <c r="E473" s="99"/>
      <c r="F473" s="99"/>
      <c r="G473" s="99"/>
      <c r="H473" s="99"/>
      <c r="I473" s="99"/>
      <c r="J473" s="99"/>
      <c r="K473" s="98">
        <v>762000</v>
      </c>
      <c r="L473" s="98">
        <v>628500</v>
      </c>
      <c r="M473" s="98">
        <v>654000</v>
      </c>
      <c r="N473" s="98">
        <v>622000</v>
      </c>
      <c r="O473" s="99"/>
      <c r="P473" s="98">
        <v>2666500</v>
      </c>
    </row>
    <row r="474" spans="1:17" ht="15.75" thickBot="1" x14ac:dyDescent="0.25">
      <c r="A474" s="101"/>
      <c r="B474" s="100"/>
      <c r="C474" s="100" t="s">
        <v>700</v>
      </c>
      <c r="D474" s="99"/>
      <c r="E474" s="99"/>
      <c r="F474" s="99"/>
      <c r="G474" s="99"/>
      <c r="H474" s="99"/>
      <c r="I474" s="99"/>
      <c r="J474" s="99"/>
      <c r="K474" s="99"/>
      <c r="L474" s="98">
        <v>11052408</v>
      </c>
      <c r="M474" s="98">
        <v>-3344598</v>
      </c>
      <c r="N474" s="98">
        <v>14620718</v>
      </c>
      <c r="O474" s="99"/>
      <c r="P474" s="98">
        <v>22328528</v>
      </c>
    </row>
    <row r="475" spans="1:17" ht="60.75" thickBot="1" x14ac:dyDescent="0.25">
      <c r="A475" s="101"/>
      <c r="B475" s="100" t="s">
        <v>699</v>
      </c>
      <c r="C475" s="100" t="s">
        <v>699</v>
      </c>
      <c r="D475" s="99"/>
      <c r="E475" s="98">
        <v>100000</v>
      </c>
      <c r="F475" s="99"/>
      <c r="G475" s="99"/>
      <c r="H475" s="99"/>
      <c r="I475" s="99"/>
      <c r="J475" s="99"/>
      <c r="K475" s="98">
        <v>100000</v>
      </c>
      <c r="L475" s="98">
        <v>492500</v>
      </c>
      <c r="M475" s="99"/>
      <c r="N475" s="99"/>
      <c r="O475" s="99"/>
      <c r="P475" s="98">
        <v>692500</v>
      </c>
    </row>
    <row r="476" spans="1:17" ht="30.75" thickBot="1" x14ac:dyDescent="0.25">
      <c r="A476" s="97" t="s">
        <v>709</v>
      </c>
      <c r="B476" s="97"/>
      <c r="C476" s="97"/>
      <c r="D476" s="96"/>
      <c r="E476" s="95">
        <v>5068020</v>
      </c>
      <c r="F476" s="95">
        <v>1054011</v>
      </c>
      <c r="G476" s="95">
        <v>1280337</v>
      </c>
      <c r="H476" s="95">
        <v>1610500</v>
      </c>
      <c r="I476" s="95">
        <v>2716876</v>
      </c>
      <c r="J476" s="95">
        <v>1986684</v>
      </c>
      <c r="K476" s="95">
        <v>5211472</v>
      </c>
      <c r="L476" s="95">
        <v>16016974</v>
      </c>
      <c r="M476" s="95">
        <v>2448155</v>
      </c>
      <c r="N476" s="95">
        <v>19429218</v>
      </c>
      <c r="O476" s="96"/>
      <c r="P476" s="95">
        <v>56822246</v>
      </c>
      <c r="Q476" s="91" t="s">
        <v>706</v>
      </c>
    </row>
    <row r="477" spans="1:17" ht="15.75" thickBot="1" x14ac:dyDescent="0.25">
      <c r="A477" s="101" t="s">
        <v>107</v>
      </c>
      <c r="B477" s="100" t="s">
        <v>665</v>
      </c>
      <c r="C477" s="100" t="s">
        <v>665</v>
      </c>
      <c r="D477" s="99"/>
      <c r="E477" s="99"/>
      <c r="F477" s="99"/>
      <c r="G477" s="99"/>
      <c r="H477" s="99"/>
      <c r="I477" s="99"/>
      <c r="J477" s="99"/>
      <c r="K477" s="98">
        <v>376000</v>
      </c>
      <c r="L477" s="98">
        <v>2198000</v>
      </c>
      <c r="M477" s="98">
        <v>2188000</v>
      </c>
      <c r="N477" s="98">
        <v>786500</v>
      </c>
      <c r="O477" s="99"/>
      <c r="P477" s="98">
        <v>5548500</v>
      </c>
    </row>
    <row r="478" spans="1:17" ht="15.75" thickBot="1" x14ac:dyDescent="0.25">
      <c r="A478" s="101"/>
      <c r="B478" s="100" t="s">
        <v>703</v>
      </c>
      <c r="C478" s="100" t="s">
        <v>703</v>
      </c>
      <c r="D478" s="99"/>
      <c r="E478" s="99"/>
      <c r="F478" s="98">
        <v>673876</v>
      </c>
      <c r="G478" s="98">
        <v>249013</v>
      </c>
      <c r="H478" s="99"/>
      <c r="I478" s="98">
        <v>271868</v>
      </c>
      <c r="J478" s="99"/>
      <c r="K478" s="99"/>
      <c r="L478" s="99"/>
      <c r="M478" s="99"/>
      <c r="N478" s="99"/>
      <c r="O478" s="99"/>
      <c r="P478" s="98">
        <v>1194757</v>
      </c>
    </row>
    <row r="479" spans="1:17" ht="15.75" thickBot="1" x14ac:dyDescent="0.25">
      <c r="A479" s="101"/>
      <c r="B479" s="100" t="s">
        <v>702</v>
      </c>
      <c r="C479" s="100" t="s">
        <v>702</v>
      </c>
      <c r="D479" s="99"/>
      <c r="E479" s="99"/>
      <c r="F479" s="98">
        <v>283500</v>
      </c>
      <c r="G479" s="98">
        <v>283500</v>
      </c>
      <c r="H479" s="98">
        <v>283500</v>
      </c>
      <c r="I479" s="98">
        <v>283500</v>
      </c>
      <c r="J479" s="99"/>
      <c r="K479" s="98">
        <v>2306500</v>
      </c>
      <c r="L479" s="98">
        <v>400000</v>
      </c>
      <c r="M479" s="99"/>
      <c r="N479" s="99"/>
      <c r="O479" s="99"/>
      <c r="P479" s="98">
        <v>3840500</v>
      </c>
    </row>
    <row r="480" spans="1:17" ht="15.75" thickBot="1" x14ac:dyDescent="0.25">
      <c r="A480" s="101"/>
      <c r="B480" s="100" t="s">
        <v>701</v>
      </c>
      <c r="C480" s="100" t="s">
        <v>700</v>
      </c>
      <c r="D480" s="99"/>
      <c r="E480" s="99"/>
      <c r="F480" s="98">
        <v>3521337</v>
      </c>
      <c r="G480" s="98">
        <v>5356447</v>
      </c>
      <c r="H480" s="99"/>
      <c r="I480" s="98">
        <v>5506892</v>
      </c>
      <c r="J480" s="98">
        <v>3305720</v>
      </c>
      <c r="K480" s="98">
        <v>7344270</v>
      </c>
      <c r="L480" s="98">
        <v>10342310</v>
      </c>
      <c r="M480" s="98">
        <v>1650403</v>
      </c>
      <c r="N480" s="98">
        <v>6144791</v>
      </c>
      <c r="O480" s="99"/>
      <c r="P480" s="98">
        <v>43172171</v>
      </c>
    </row>
    <row r="481" spans="1:17" ht="15.75" thickBot="1" x14ac:dyDescent="0.25">
      <c r="A481" s="101"/>
      <c r="B481" s="100"/>
      <c r="C481" s="100" t="s">
        <v>708</v>
      </c>
      <c r="D481" s="99"/>
      <c r="E481" s="99"/>
      <c r="F481" s="99"/>
      <c r="G481" s="99"/>
      <c r="H481" s="99"/>
      <c r="I481" s="99"/>
      <c r="J481" s="99"/>
      <c r="K481" s="99"/>
      <c r="L481" s="99"/>
      <c r="M481" s="99"/>
      <c r="N481" s="98">
        <v>10398869</v>
      </c>
      <c r="O481" s="98">
        <v>6217221</v>
      </c>
      <c r="P481" s="98">
        <v>16616090</v>
      </c>
    </row>
    <row r="482" spans="1:17" ht="60.75" thickBot="1" x14ac:dyDescent="0.25">
      <c r="A482" s="101"/>
      <c r="B482" s="100" t="s">
        <v>699</v>
      </c>
      <c r="C482" s="100" t="s">
        <v>699</v>
      </c>
      <c r="D482" s="99"/>
      <c r="E482" s="99"/>
      <c r="F482" s="98">
        <v>100000</v>
      </c>
      <c r="G482" s="99"/>
      <c r="H482" s="99"/>
      <c r="I482" s="98">
        <v>100000</v>
      </c>
      <c r="J482" s="99"/>
      <c r="K482" s="99"/>
      <c r="L482" s="99"/>
      <c r="M482" s="98">
        <v>257000</v>
      </c>
      <c r="N482" s="99"/>
      <c r="O482" s="99"/>
      <c r="P482" s="98">
        <v>457000</v>
      </c>
    </row>
    <row r="483" spans="1:17" ht="30.75" thickBot="1" x14ac:dyDescent="0.25">
      <c r="A483" s="97" t="s">
        <v>707</v>
      </c>
      <c r="B483" s="97"/>
      <c r="C483" s="97"/>
      <c r="D483" s="96"/>
      <c r="E483" s="96"/>
      <c r="F483" s="95">
        <v>4578713</v>
      </c>
      <c r="G483" s="95">
        <v>5888960</v>
      </c>
      <c r="H483" s="95">
        <v>283500</v>
      </c>
      <c r="I483" s="95">
        <v>6162259</v>
      </c>
      <c r="J483" s="95">
        <v>3305720</v>
      </c>
      <c r="K483" s="95">
        <v>10026770</v>
      </c>
      <c r="L483" s="95">
        <v>12940310</v>
      </c>
      <c r="M483" s="95">
        <v>4095403</v>
      </c>
      <c r="N483" s="95">
        <v>17330160</v>
      </c>
      <c r="O483" s="95">
        <v>6217221</v>
      </c>
      <c r="P483" s="95">
        <v>70829017</v>
      </c>
      <c r="Q483" s="91" t="s">
        <v>706</v>
      </c>
    </row>
    <row r="484" spans="1:17" ht="15.75" thickBot="1" x14ac:dyDescent="0.25">
      <c r="A484" s="101" t="s">
        <v>68</v>
      </c>
      <c r="B484" s="100" t="s">
        <v>665</v>
      </c>
      <c r="C484" s="100" t="s">
        <v>665</v>
      </c>
      <c r="D484" s="99"/>
      <c r="E484" s="99"/>
      <c r="F484" s="99"/>
      <c r="G484" s="99"/>
      <c r="H484" s="99"/>
      <c r="I484" s="99"/>
      <c r="J484" s="99"/>
      <c r="K484" s="98">
        <v>2344500</v>
      </c>
      <c r="L484" s="98">
        <v>573000</v>
      </c>
      <c r="M484" s="99"/>
      <c r="N484" s="99"/>
      <c r="O484" s="99"/>
      <c r="P484" s="98">
        <v>2917500</v>
      </c>
    </row>
    <row r="485" spans="1:17" ht="15.75" thickBot="1" x14ac:dyDescent="0.25">
      <c r="A485" s="101"/>
      <c r="B485" s="100" t="s">
        <v>703</v>
      </c>
      <c r="C485" s="100" t="s">
        <v>703</v>
      </c>
      <c r="D485" s="99"/>
      <c r="E485" s="99"/>
      <c r="F485" s="98">
        <v>473420</v>
      </c>
      <c r="G485" s="99"/>
      <c r="H485" s="98">
        <v>106287</v>
      </c>
      <c r="I485" s="98">
        <v>135080</v>
      </c>
      <c r="J485" s="99"/>
      <c r="K485" s="98">
        <v>-25550</v>
      </c>
      <c r="L485" s="99"/>
      <c r="M485" s="99"/>
      <c r="N485" s="99"/>
      <c r="O485" s="99"/>
      <c r="P485" s="98">
        <v>689237</v>
      </c>
    </row>
    <row r="486" spans="1:17" ht="15.75" thickBot="1" x14ac:dyDescent="0.25">
      <c r="A486" s="101"/>
      <c r="B486" s="100" t="s">
        <v>702</v>
      </c>
      <c r="C486" s="100" t="s">
        <v>702</v>
      </c>
      <c r="D486" s="99"/>
      <c r="E486" s="98">
        <v>164000</v>
      </c>
      <c r="F486" s="99"/>
      <c r="G486" s="98">
        <v>164000</v>
      </c>
      <c r="H486" s="98">
        <v>328000</v>
      </c>
      <c r="I486" s="98">
        <v>2519360</v>
      </c>
      <c r="J486" s="98">
        <v>352700</v>
      </c>
      <c r="K486" s="98">
        <v>336000</v>
      </c>
      <c r="L486" s="99"/>
      <c r="M486" s="99"/>
      <c r="N486" s="99"/>
      <c r="O486" s="99"/>
      <c r="P486" s="98">
        <v>3864060</v>
      </c>
    </row>
    <row r="487" spans="1:17" ht="15.75" thickBot="1" x14ac:dyDescent="0.25">
      <c r="A487" s="101"/>
      <c r="B487" s="100" t="s">
        <v>701</v>
      </c>
      <c r="C487" s="100" t="s">
        <v>700</v>
      </c>
      <c r="D487" s="99"/>
      <c r="E487" s="99"/>
      <c r="F487" s="99"/>
      <c r="G487" s="99"/>
      <c r="H487" s="98">
        <v>10108054</v>
      </c>
      <c r="I487" s="98">
        <v>445834</v>
      </c>
      <c r="J487" s="98">
        <v>4923937</v>
      </c>
      <c r="K487" s="98">
        <v>2208291</v>
      </c>
      <c r="L487" s="98">
        <v>7586843</v>
      </c>
      <c r="M487" s="98">
        <v>3629787</v>
      </c>
      <c r="N487" s="98">
        <v>7761019</v>
      </c>
      <c r="O487" s="99"/>
      <c r="P487" s="98">
        <v>36663765</v>
      </c>
    </row>
    <row r="488" spans="1:17" ht="30.75" thickBot="1" x14ac:dyDescent="0.25">
      <c r="A488" s="101"/>
      <c r="B488" s="100"/>
      <c r="C488" s="100" t="s">
        <v>705</v>
      </c>
      <c r="D488" s="99"/>
      <c r="E488" s="99"/>
      <c r="F488" s="98">
        <v>3430164</v>
      </c>
      <c r="G488" s="98">
        <v>5447864</v>
      </c>
      <c r="H488" s="99"/>
      <c r="I488" s="99"/>
      <c r="J488" s="99"/>
      <c r="K488" s="99"/>
      <c r="L488" s="99"/>
      <c r="M488" s="99"/>
      <c r="N488" s="99"/>
      <c r="O488" s="99"/>
      <c r="P488" s="98">
        <v>8878028</v>
      </c>
    </row>
    <row r="489" spans="1:17" ht="60.75" thickBot="1" x14ac:dyDescent="0.25">
      <c r="A489" s="101"/>
      <c r="B489" s="100" t="s">
        <v>699</v>
      </c>
      <c r="C489" s="100" t="s">
        <v>699</v>
      </c>
      <c r="D489" s="99"/>
      <c r="E489" s="99"/>
      <c r="F489" s="98">
        <v>100000</v>
      </c>
      <c r="G489" s="99"/>
      <c r="H489" s="99"/>
      <c r="I489" s="99"/>
      <c r="J489" s="99"/>
      <c r="K489" s="99"/>
      <c r="L489" s="99"/>
      <c r="M489" s="99"/>
      <c r="N489" s="99"/>
      <c r="O489" s="99"/>
      <c r="P489" s="98">
        <v>100000</v>
      </c>
    </row>
    <row r="490" spans="1:17" ht="30.75" thickBot="1" x14ac:dyDescent="0.25">
      <c r="A490" s="97" t="s">
        <v>704</v>
      </c>
      <c r="B490" s="97"/>
      <c r="C490" s="97"/>
      <c r="D490" s="96"/>
      <c r="E490" s="95">
        <v>164000</v>
      </c>
      <c r="F490" s="95">
        <v>4003584</v>
      </c>
      <c r="G490" s="95">
        <v>5611864</v>
      </c>
      <c r="H490" s="95">
        <v>10542341</v>
      </c>
      <c r="I490" s="95">
        <v>3100274</v>
      </c>
      <c r="J490" s="95">
        <v>5276637</v>
      </c>
      <c r="K490" s="95">
        <v>4863242</v>
      </c>
      <c r="L490" s="95">
        <v>8159843</v>
      </c>
      <c r="M490" s="95">
        <v>3629787</v>
      </c>
      <c r="N490" s="95">
        <v>7761019</v>
      </c>
      <c r="O490" s="96"/>
      <c r="P490" s="95">
        <v>53112590</v>
      </c>
      <c r="Q490" s="91" t="s">
        <v>617</v>
      </c>
    </row>
    <row r="491" spans="1:17" ht="30.75" thickBot="1" x14ac:dyDescent="0.25">
      <c r="A491" s="101" t="s">
        <v>67</v>
      </c>
      <c r="B491" s="100" t="s">
        <v>703</v>
      </c>
      <c r="C491" s="100" t="s">
        <v>703</v>
      </c>
      <c r="D491" s="99"/>
      <c r="E491" s="99"/>
      <c r="F491" s="99"/>
      <c r="G491" s="98">
        <v>460589</v>
      </c>
      <c r="H491" s="99"/>
      <c r="I491" s="98">
        <v>372658</v>
      </c>
      <c r="J491" s="98">
        <v>150644</v>
      </c>
      <c r="K491" s="98">
        <v>-34966</v>
      </c>
      <c r="L491" s="99"/>
      <c r="M491" s="99"/>
      <c r="N491" s="99"/>
      <c r="O491" s="99"/>
      <c r="P491" s="98">
        <v>948925</v>
      </c>
    </row>
    <row r="492" spans="1:17" ht="15.75" thickBot="1" x14ac:dyDescent="0.25">
      <c r="A492" s="101"/>
      <c r="B492" s="100" t="s">
        <v>702</v>
      </c>
      <c r="C492" s="100" t="s">
        <v>702</v>
      </c>
      <c r="D492" s="99"/>
      <c r="E492" s="99"/>
      <c r="F492" s="98">
        <v>318270</v>
      </c>
      <c r="G492" s="98">
        <v>159725</v>
      </c>
      <c r="H492" s="98">
        <v>148371</v>
      </c>
      <c r="I492" s="99"/>
      <c r="J492" s="99"/>
      <c r="K492" s="98">
        <v>636540</v>
      </c>
      <c r="L492" s="99"/>
      <c r="M492" s="99"/>
      <c r="N492" s="99"/>
      <c r="O492" s="99"/>
      <c r="P492" s="98">
        <v>1262906</v>
      </c>
    </row>
    <row r="493" spans="1:17" ht="15.75" thickBot="1" x14ac:dyDescent="0.25">
      <c r="A493" s="101"/>
      <c r="B493" s="100" t="s">
        <v>701</v>
      </c>
      <c r="C493" s="100" t="s">
        <v>700</v>
      </c>
      <c r="D493" s="99"/>
      <c r="E493" s="99"/>
      <c r="F493" s="99"/>
      <c r="G493" s="99"/>
      <c r="H493" s="99"/>
      <c r="I493" s="99"/>
      <c r="J493" s="99"/>
      <c r="K493" s="98">
        <v>2360673</v>
      </c>
      <c r="L493" s="98">
        <v>4910244</v>
      </c>
      <c r="M493" s="98">
        <v>3526664</v>
      </c>
      <c r="N493" s="98">
        <v>6441214</v>
      </c>
      <c r="O493" s="99"/>
      <c r="P493" s="98">
        <v>17238795</v>
      </c>
    </row>
    <row r="494" spans="1:17" ht="60.75" thickBot="1" x14ac:dyDescent="0.25">
      <c r="A494" s="101"/>
      <c r="B494" s="100" t="s">
        <v>699</v>
      </c>
      <c r="C494" s="100" t="s">
        <v>699</v>
      </c>
      <c r="D494" s="99"/>
      <c r="E494" s="99"/>
      <c r="F494" s="99"/>
      <c r="G494" s="99"/>
      <c r="H494" s="99"/>
      <c r="I494" s="99"/>
      <c r="J494" s="99"/>
      <c r="K494" s="98">
        <v>100000</v>
      </c>
      <c r="L494" s="99"/>
      <c r="M494" s="99"/>
      <c r="N494" s="99"/>
      <c r="O494" s="99"/>
      <c r="P494" s="98">
        <v>100000</v>
      </c>
    </row>
    <row r="495" spans="1:17" ht="30.75" thickBot="1" x14ac:dyDescent="0.25">
      <c r="A495" s="97" t="s">
        <v>698</v>
      </c>
      <c r="B495" s="97"/>
      <c r="C495" s="97"/>
      <c r="D495" s="96"/>
      <c r="E495" s="96"/>
      <c r="F495" s="95">
        <v>318270</v>
      </c>
      <c r="G495" s="95">
        <v>620314</v>
      </c>
      <c r="H495" s="95">
        <v>148371</v>
      </c>
      <c r="I495" s="95">
        <v>372658</v>
      </c>
      <c r="J495" s="95">
        <v>150644</v>
      </c>
      <c r="K495" s="95">
        <v>3062247</v>
      </c>
      <c r="L495" s="95">
        <v>4910244</v>
      </c>
      <c r="M495" s="95">
        <v>3526664</v>
      </c>
      <c r="N495" s="95">
        <v>6441214</v>
      </c>
      <c r="O495" s="96"/>
      <c r="P495" s="95">
        <v>19550627</v>
      </c>
      <c r="Q495" s="91" t="s">
        <v>617</v>
      </c>
    </row>
    <row r="496" spans="1:17" ht="30.75" thickBot="1" x14ac:dyDescent="0.25">
      <c r="A496" s="92" t="s">
        <v>697</v>
      </c>
      <c r="B496" s="94"/>
      <c r="C496" s="94"/>
      <c r="D496" s="93">
        <v>1987500</v>
      </c>
      <c r="E496" s="93">
        <v>114286840</v>
      </c>
      <c r="F496" s="93">
        <v>94246389</v>
      </c>
      <c r="G496" s="93">
        <v>158385006</v>
      </c>
      <c r="H496" s="93">
        <v>136146454</v>
      </c>
      <c r="I496" s="93">
        <v>206122589</v>
      </c>
      <c r="J496" s="93">
        <v>194048207</v>
      </c>
      <c r="K496" s="93">
        <v>387673539</v>
      </c>
      <c r="L496" s="93">
        <v>594709132</v>
      </c>
      <c r="M496" s="93">
        <v>335323247</v>
      </c>
      <c r="N496" s="93">
        <v>584407870</v>
      </c>
      <c r="O496" s="93">
        <v>77911120</v>
      </c>
      <c r="P496" s="92" t="s">
        <v>696</v>
      </c>
    </row>
    <row r="497" ht="13.5" thickTop="1" x14ac:dyDescent="0.2"/>
  </sheetData>
  <autoFilter ref="A1:Q496"/>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37</vt:i4>
      </vt:variant>
      <vt:variant>
        <vt:lpstr>Charts</vt:lpstr>
      </vt:variant>
      <vt:variant>
        <vt:i4>1</vt:i4>
      </vt:variant>
      <vt:variant>
        <vt:lpstr>Named Ranges</vt:lpstr>
      </vt:variant>
      <vt:variant>
        <vt:i4>2</vt:i4>
      </vt:variant>
    </vt:vector>
  </HeadingPairs>
  <TitlesOfParts>
    <vt:vector size="40" baseType="lpstr">
      <vt:lpstr>edited unvacc forecasts</vt:lpstr>
      <vt:lpstr>GF disbursements</vt:lpstr>
      <vt:lpstr>correlations</vt:lpstr>
      <vt:lpstr>TB</vt:lpstr>
      <vt:lpstr>measles (2)</vt:lpstr>
      <vt:lpstr>AIDS</vt:lpstr>
      <vt:lpstr>unvacc-hiv-tb</vt:lpstr>
      <vt:lpstr>ARV</vt:lpstr>
      <vt:lpstr>GAVI</vt:lpstr>
      <vt:lpstr>DALY per DAH</vt:lpstr>
      <vt:lpstr>Measles</vt:lpstr>
      <vt:lpstr>Health aid</vt:lpstr>
      <vt:lpstr>PICNIC income distribution</vt:lpstr>
      <vt:lpstr>modified LMIC</vt:lpstr>
      <vt:lpstr>Hoja1</vt:lpstr>
      <vt:lpstr>Hoja5</vt:lpstr>
      <vt:lpstr>excluding China+India</vt:lpstr>
      <vt:lpstr>summary</vt:lpstr>
      <vt:lpstr>modified LI</vt:lpstr>
      <vt:lpstr>GAVI future graduates</vt:lpstr>
      <vt:lpstr>GAVI Eligible</vt:lpstr>
      <vt:lpstr>GDP per capita</vt:lpstr>
      <vt:lpstr>Low Income</vt:lpstr>
      <vt:lpstr>Lower Middle Income</vt:lpstr>
      <vt:lpstr>LMIC Graphs</vt:lpstr>
      <vt:lpstr>Upper Middle Income</vt:lpstr>
      <vt:lpstr>MIC Graphs</vt:lpstr>
      <vt:lpstr>GAVI Graduating</vt:lpstr>
      <vt:lpstr>Index</vt:lpstr>
      <vt:lpstr>Table 2 Gavi grads</vt:lpstr>
      <vt:lpstr>Vaccination</vt:lpstr>
      <vt:lpstr>dtpgdp</vt:lpstr>
      <vt:lpstr>Health expenditures</vt:lpstr>
      <vt:lpstr>dtp dhs</vt:lpstr>
      <vt:lpstr>DALYperincomegroup</vt:lpstr>
      <vt:lpstr>DALY collapsed</vt:lpstr>
      <vt:lpstr>Sheet1</vt:lpstr>
      <vt:lpstr>DTP chart labels</vt:lpstr>
      <vt:lpstr>incid_measles</vt:lpstr>
      <vt:lpstr>zzGFATMData__All_Disbursements_Made_</vt:lpstr>
    </vt:vector>
  </TitlesOfParts>
  <Company>Center for Global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Denizhan Duran</cp:lastModifiedBy>
  <dcterms:created xsi:type="dcterms:W3CDTF">2011-08-04T15:21:43Z</dcterms:created>
  <dcterms:modified xsi:type="dcterms:W3CDTF">2011-10-11T21:22:25Z</dcterms:modified>
</cp:coreProperties>
</file>